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70" windowWidth="19320" windowHeight="10260" activeTab="1"/>
  </bookViews>
  <sheets>
    <sheet name="Паспорт" sheetId="1" r:id="rId1"/>
    <sheet name="Додаток" sheetId="2" r:id="rId2"/>
    <sheet name="Лист1" sheetId="3" r:id="rId3"/>
  </sheets>
  <definedNames>
    <definedName name="_Hlk21234135" localSheetId="1">'Додаток'!$C$17</definedName>
    <definedName name="_Hlk21234135" localSheetId="0">'Паспорт'!$C$17</definedName>
    <definedName name="OLE_LINK2" localSheetId="1">'Додаток'!#REF!</definedName>
    <definedName name="OLE_LINK2" localSheetId="0">'Паспорт'!#REF!</definedName>
    <definedName name="OLE_LINK3" localSheetId="1">'Додаток'!#REF!</definedName>
    <definedName name="OLE_LINK3" localSheetId="0">'Паспорт'!#REF!</definedName>
    <definedName name="OLE_LINK5" localSheetId="1">'Додаток'!#REF!</definedName>
    <definedName name="OLE_LINK5" localSheetId="0">'Паспорт'!#REF!</definedName>
    <definedName name="_xlnm.Print_Area" localSheetId="1">'Додаток'!$A$1:$Y$52</definedName>
    <definedName name="_xlnm.Print_Area" localSheetId="0">'Паспорт'!$A$1:$V$50</definedName>
  </definedNames>
  <calcPr fullCalcOnLoad="1"/>
</workbook>
</file>

<file path=xl/sharedStrings.xml><?xml version="1.0" encoding="utf-8"?>
<sst xmlns="http://schemas.openxmlformats.org/spreadsheetml/2006/main" count="88" uniqueCount="81">
  <si>
    <t>підпис</t>
  </si>
  <si>
    <t xml:space="preserve">  </t>
  </si>
  <si>
    <t>Густина, кг/м3</t>
  </si>
  <si>
    <t>ПАСПОРТ ФІЗИКО-ХІМІЧНИХ ПОКАЗНИКІВ ПРИРОДНОГО ГАЗУ</t>
  </si>
  <si>
    <t>Масова концентрація сірководню, г/м3</t>
  </si>
  <si>
    <t>Число місяця</t>
  </si>
  <si>
    <t>Підрозділу підприємства, якому підпорядкована ВХАЛ</t>
  </si>
  <si>
    <t xml:space="preserve"> ВХАЛ, де здійснювались аналізи газу</t>
  </si>
  <si>
    <t xml:space="preserve">       прізвище</t>
  </si>
  <si>
    <t>ПАТ "УКРТРАНСГАЗ"</t>
  </si>
  <si>
    <t>Філія УМГ"Харківтрансгаз"</t>
  </si>
  <si>
    <t>Вимірювальна хіміко-аналітична лабораторія</t>
  </si>
  <si>
    <t>Додаток до Паспорту фізико-хімічних показників природного газу</t>
  </si>
  <si>
    <t>Начальник служби ГВ та М</t>
  </si>
  <si>
    <t xml:space="preserve"> </t>
  </si>
  <si>
    <t>Керівник підрозділу підприємства</t>
  </si>
  <si>
    <t>Керівник служби, відповідальної за облік газу</t>
  </si>
  <si>
    <t xml:space="preserve">Обсяг газу, переданого за добу,  м3 </t>
  </si>
  <si>
    <t>Загальний обсяг газу, м3</t>
  </si>
  <si>
    <t>Столбец X не трогать, данные пересчитываются и переносятся из Паспорта!</t>
  </si>
  <si>
    <t xml:space="preserve"> - червоним виділено Зразок для введення своїх даних</t>
  </si>
  <si>
    <t>Теплота згоряння ниижа, (за поточну добу та середньозважене значення за місяць) МДж/м3</t>
  </si>
  <si>
    <r>
      <t xml:space="preserve">Если в первом числе месяца у нас не было измерения ФХП, то в X15 вводим </t>
    </r>
    <r>
      <rPr>
        <sz val="10"/>
        <color indexed="14"/>
        <rFont val="Arial Cyr"/>
        <family val="0"/>
      </rPr>
      <t>последнее</t>
    </r>
    <r>
      <rPr>
        <sz val="10"/>
        <rFont val="Arial Cyr"/>
        <family val="0"/>
      </rPr>
      <t xml:space="preserve"> значение Теплоты сгорания низшей  вручную из прошлого месяца!</t>
    </r>
  </si>
  <si>
    <t xml:space="preserve">Сєвєродонецьке  ЛВУМГ </t>
  </si>
  <si>
    <r>
      <t>Свідоцтво про атестацію</t>
    </r>
    <r>
      <rPr>
        <u val="single"/>
        <sz val="11"/>
        <rFont val="Times New Roman"/>
        <family val="1"/>
      </rPr>
      <t xml:space="preserve"> </t>
    </r>
    <r>
      <rPr>
        <b/>
        <u val="single"/>
        <sz val="11"/>
        <rFont val="Times New Roman"/>
        <family val="1"/>
      </rPr>
      <t>№ РЬ 089/2014</t>
    </r>
    <r>
      <rPr>
        <sz val="11"/>
        <rFont val="Times New Roman"/>
        <family val="1"/>
      </rPr>
      <t xml:space="preserve"> дійсне до </t>
    </r>
    <r>
      <rPr>
        <b/>
        <sz val="11"/>
        <rFont val="Times New Roman"/>
        <family val="1"/>
      </rPr>
      <t xml:space="preserve"> </t>
    </r>
    <r>
      <rPr>
        <b/>
        <u val="single"/>
        <sz val="11"/>
        <rFont val="Times New Roman"/>
        <family val="1"/>
      </rPr>
      <t>06.06.2017 р.</t>
    </r>
  </si>
  <si>
    <t xml:space="preserve">Начальник  Сєвєродонецького     ЛВУМГ  </t>
  </si>
  <si>
    <t xml:space="preserve">Інженер ВХАЛ </t>
  </si>
  <si>
    <t>число місяця</t>
  </si>
  <si>
    <t>Компонентний склад, % мол.</t>
  </si>
  <si>
    <t>Теплота згоряння нижча, ккал/м3</t>
  </si>
  <si>
    <r>
      <t>Число Воббе вище, ккал/м</t>
    </r>
    <r>
      <rPr>
        <vertAlign val="superscript"/>
        <sz val="9"/>
        <rFont val="Times New Roman Cyr"/>
        <family val="0"/>
      </rPr>
      <t>3</t>
    </r>
  </si>
  <si>
    <t>Теплота згоряння нижча, МДж/м3</t>
  </si>
  <si>
    <r>
      <t>Число Воббе вище МДж/м</t>
    </r>
    <r>
      <rPr>
        <vertAlign val="superscript"/>
        <sz val="9"/>
        <rFont val="Times New Roman Cyr"/>
        <family val="0"/>
      </rPr>
      <t>3</t>
    </r>
  </si>
  <si>
    <t>Масова концентрація меркаптанової сірки, г/м3</t>
  </si>
  <si>
    <t>Метан</t>
  </si>
  <si>
    <t xml:space="preserve">Этан </t>
  </si>
  <si>
    <t xml:space="preserve">Пропан </t>
  </si>
  <si>
    <t xml:space="preserve">і-Бутан </t>
  </si>
  <si>
    <t xml:space="preserve">н-Бутан </t>
  </si>
  <si>
    <t xml:space="preserve">Пентани </t>
  </si>
  <si>
    <t>Гексан  та вищі</t>
  </si>
  <si>
    <t xml:space="preserve">Азот </t>
  </si>
  <si>
    <t>Діоксид вуглецю</t>
  </si>
  <si>
    <t>Кисень</t>
  </si>
  <si>
    <r>
      <t>при 20</t>
    </r>
    <r>
      <rPr>
        <vertAlign val="superscript"/>
        <sz val="9"/>
        <rFont val="Times New Roman Cyr"/>
        <family val="0"/>
      </rPr>
      <t>0</t>
    </r>
    <r>
      <rPr>
        <sz val="9"/>
        <rFont val="Times New Roman Cyr"/>
        <family val="0"/>
      </rPr>
      <t>С; 101,325 кПа</t>
    </r>
  </si>
  <si>
    <t>відс.</t>
  </si>
  <si>
    <t>Маса механ. домішок, г/100м3</t>
  </si>
  <si>
    <t>Точка роси вологи (Р=3,92 МПа)</t>
  </si>
  <si>
    <r>
      <t xml:space="preserve">Точка роси вуглеводнів </t>
    </r>
    <r>
      <rPr>
        <sz val="9"/>
        <rFont val="Times New Roman Cyr"/>
        <family val="0"/>
      </rPr>
      <t xml:space="preserve">,  </t>
    </r>
    <r>
      <rPr>
        <vertAlign val="superscript"/>
        <sz val="9"/>
        <rFont val="Times New Roman Cyr"/>
        <family val="0"/>
      </rPr>
      <t>0</t>
    </r>
    <r>
      <rPr>
        <sz val="9"/>
        <rFont val="Times New Roman Cyr"/>
        <family val="0"/>
      </rPr>
      <t>С</t>
    </r>
  </si>
  <si>
    <t xml:space="preserve">Ялтинський ПМ Краматорського ЛВУМГ </t>
  </si>
  <si>
    <t xml:space="preserve">      підпис</t>
  </si>
  <si>
    <t>прізвище</t>
  </si>
  <si>
    <t>А.М. Левкович</t>
  </si>
  <si>
    <t xml:space="preserve">       підпис</t>
  </si>
  <si>
    <t xml:space="preserve">                                        переданого Краматорським ЛВУМГ та прийнятого ПАТ "Маріупольгаз" по ГРС Ялта, ГРС Мангуш,                                                                                                                                                            ГРС р-п. Маріупольський, ГРС Дзержинського, ГРС Малинівка, ГРС Первомайське ПТФ, ГРС Червоне поле, ГРС-1 Маріуполь, ГРС-2 Маріуполь         </t>
  </si>
  <si>
    <t xml:space="preserve">          переданого Краматорським ЛВУМГ та прийнятого ПАТ "Маріупольгаз" по ГРС Ялта, ГРС Мангуш, ГРС р-п.Маріупольський, ГРС Дзержинського,                                                                            </t>
  </si>
  <si>
    <t xml:space="preserve">ГРС Малинівка, ГРС Первомайське ПТФ, ГРС Червоне поле, ГРС-1 Маріуполь, ГРС-2 Маріуполь, ГРП Юр'ївка    </t>
  </si>
  <si>
    <t>ГРС Ялта</t>
  </si>
  <si>
    <t>ГРС Мангуш</t>
  </si>
  <si>
    <t>ГРС р-п. Маріупольський</t>
  </si>
  <si>
    <t>ГРС Дзержинського</t>
  </si>
  <si>
    <t>ГРС Малинівка</t>
  </si>
  <si>
    <t>ГРС Первомайське ПТФ</t>
  </si>
  <si>
    <t>ГРС Червоне Поле</t>
  </si>
  <si>
    <t>ГРС-1 Маріуполь</t>
  </si>
  <si>
    <t>ГРС-2 Маріуполь</t>
  </si>
  <si>
    <t>ГРП Юр'ївка</t>
  </si>
  <si>
    <t>День</t>
  </si>
  <si>
    <t xml:space="preserve"> V, м3</t>
  </si>
  <si>
    <t xml:space="preserve"> dP, кгс/м2</t>
  </si>
  <si>
    <t xml:space="preserve"> Pизб, кгс/см2</t>
  </si>
  <si>
    <t xml:space="preserve"> T, °C</t>
  </si>
  <si>
    <t>ABC</t>
  </si>
  <si>
    <t>Итого</t>
  </si>
  <si>
    <t>Ю.О. Головко</t>
  </si>
  <si>
    <t>М.О. Єрьоменко</t>
  </si>
  <si>
    <t xml:space="preserve">Начальник  Краматорського    ЛВУМГ  </t>
  </si>
  <si>
    <t>С.Г. Таушан</t>
  </si>
  <si>
    <r>
      <t xml:space="preserve">                                                        з газопроводу Краматорськ- Донецьк-Маріуполь-Бердянськ     за період з  </t>
    </r>
    <r>
      <rPr>
        <b/>
        <u val="single"/>
        <sz val="12"/>
        <rFont val="Times New Roman"/>
        <family val="1"/>
      </rPr>
      <t xml:space="preserve"> 01.07.2016р.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по</t>
    </r>
    <r>
      <rPr>
        <b/>
        <sz val="12"/>
        <rFont val="Times New Roman"/>
        <family val="1"/>
      </rPr>
      <t xml:space="preserve"> 31</t>
    </r>
    <r>
      <rPr>
        <b/>
        <u val="single"/>
        <sz val="12"/>
        <rFont val="Times New Roman"/>
        <family val="1"/>
      </rPr>
      <t>.07.2016р.</t>
    </r>
  </si>
  <si>
    <r>
      <t xml:space="preserve">                                                                           </t>
    </r>
    <r>
      <rPr>
        <sz val="12"/>
        <rFont val="Times New Roman"/>
        <family val="1"/>
      </rPr>
      <t>з газопроводу</t>
    </r>
    <r>
      <rPr>
        <b/>
        <sz val="12"/>
        <rFont val="Times New Roman"/>
        <family val="1"/>
      </rPr>
      <t xml:space="preserve">  Краматорськ-Донецьк-Маріуполь-Бердянськ   </t>
    </r>
    <r>
      <rPr>
        <sz val="12"/>
        <rFont val="Times New Roman"/>
        <family val="1"/>
      </rPr>
      <t xml:space="preserve"> за період з </t>
    </r>
    <r>
      <rPr>
        <b/>
        <sz val="12"/>
        <rFont val="Times New Roman"/>
        <family val="1"/>
      </rPr>
      <t xml:space="preserve"> </t>
    </r>
    <r>
      <rPr>
        <b/>
        <u val="single"/>
        <sz val="12"/>
        <rFont val="Times New Roman"/>
        <family val="1"/>
      </rPr>
      <t xml:space="preserve"> 01.07.2016р.</t>
    </r>
    <r>
      <rPr>
        <b/>
        <sz val="12"/>
        <rFont val="Times New Roman"/>
        <family val="1"/>
      </rPr>
      <t xml:space="preserve"> по </t>
    </r>
    <r>
      <rPr>
        <b/>
        <u val="single"/>
        <sz val="12"/>
        <rFont val="Times New Roman"/>
        <family val="1"/>
      </rPr>
      <t>31.07.2016р.</t>
    </r>
  </si>
  <si>
    <t>Данные по объекту Юрьевка (осн.) за 7/16.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</si>
</sst>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0.0"/>
    <numFmt numFmtId="178" formatCode="0.000"/>
    <numFmt numFmtId="179" formatCode="0.0000"/>
    <numFmt numFmtId="180" formatCode="[$-FC19]d\ mmmm\ yyyy\ &quot;г.&quot;"/>
  </numFmts>
  <fonts count="96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b/>
      <sz val="10"/>
      <color indexed="17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sz val="9"/>
      <name val="Times New Roman"/>
      <family val="1"/>
    </font>
    <font>
      <sz val="11"/>
      <name val="Arial"/>
      <family val="2"/>
    </font>
    <font>
      <sz val="9"/>
      <name val="Arial"/>
      <family val="2"/>
    </font>
    <font>
      <sz val="9"/>
      <name val="Arial Cyr"/>
      <family val="0"/>
    </font>
    <font>
      <b/>
      <sz val="11"/>
      <name val="Arial"/>
      <family val="2"/>
    </font>
    <font>
      <b/>
      <sz val="9"/>
      <name val="Arial"/>
      <family val="2"/>
    </font>
    <font>
      <b/>
      <sz val="12"/>
      <name val="Times New Roman"/>
      <family val="1"/>
    </font>
    <font>
      <sz val="10"/>
      <color indexed="14"/>
      <name val="Arial Cyr"/>
      <family val="0"/>
    </font>
    <font>
      <b/>
      <sz val="11"/>
      <name val="Times New Roman"/>
      <family val="1"/>
    </font>
    <font>
      <u val="single"/>
      <sz val="11"/>
      <name val="Times New Roman"/>
      <family val="1"/>
    </font>
    <font>
      <b/>
      <u val="single"/>
      <sz val="11"/>
      <name val="Times New Roman"/>
      <family val="1"/>
    </font>
    <font>
      <sz val="12"/>
      <name val="Times New Roman"/>
      <family val="1"/>
    </font>
    <font>
      <b/>
      <sz val="12"/>
      <color indexed="17"/>
      <name val="Times New Roman"/>
      <family val="1"/>
    </font>
    <font>
      <b/>
      <u val="single"/>
      <sz val="12"/>
      <name val="Times New Roman"/>
      <family val="1"/>
    </font>
    <font>
      <sz val="9"/>
      <name val="Times New Roman Cyr"/>
      <family val="0"/>
    </font>
    <font>
      <sz val="12"/>
      <name val="Times New Roman Cyr"/>
      <family val="0"/>
    </font>
    <font>
      <vertAlign val="superscript"/>
      <sz val="9"/>
      <name val="Times New Roman Cyr"/>
      <family val="0"/>
    </font>
    <font>
      <sz val="10"/>
      <name val="Times New Roman Cyr"/>
      <family val="0"/>
    </font>
    <font>
      <sz val="11"/>
      <name val="Times New Roman Cyr"/>
      <family val="0"/>
    </font>
    <font>
      <sz val="8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2"/>
      <color indexed="10"/>
      <name val="Times New Roman"/>
      <family val="1"/>
    </font>
    <font>
      <b/>
      <sz val="10"/>
      <color indexed="57"/>
      <name val="Arial Cyr"/>
      <family val="0"/>
    </font>
    <font>
      <b/>
      <sz val="12"/>
      <color indexed="62"/>
      <name val="Times New Roman"/>
      <family val="1"/>
    </font>
    <font>
      <b/>
      <i/>
      <sz val="9"/>
      <color indexed="62"/>
      <name val="Times New Roman"/>
      <family val="1"/>
    </font>
    <font>
      <sz val="10"/>
      <color indexed="62"/>
      <name val="Arial Cyr"/>
      <family val="0"/>
    </font>
    <font>
      <sz val="10"/>
      <color indexed="10"/>
      <name val="Arial Cyr"/>
      <family val="0"/>
    </font>
    <font>
      <sz val="11"/>
      <color indexed="10"/>
      <name val="Arial Cyr"/>
      <family val="0"/>
    </font>
    <font>
      <sz val="9"/>
      <color indexed="10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9"/>
      <color indexed="10"/>
      <name val="Times New Roman"/>
      <family val="1"/>
    </font>
    <font>
      <sz val="9"/>
      <color indexed="14"/>
      <name val="Times New Roman"/>
      <family val="1"/>
    </font>
    <font>
      <sz val="8"/>
      <color indexed="10"/>
      <name val="Times New Roman Cyr"/>
      <family val="0"/>
    </font>
    <font>
      <sz val="8"/>
      <color indexed="10"/>
      <name val="Times New Roman"/>
      <family val="1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2"/>
      <color rgb="FFFF0000"/>
      <name val="Times New Roman"/>
      <family val="1"/>
    </font>
    <font>
      <b/>
      <sz val="10"/>
      <color rgb="FF17994C"/>
      <name val="Arial Cyr"/>
      <family val="0"/>
    </font>
    <font>
      <b/>
      <sz val="12"/>
      <color theme="4" tint="-0.24997000396251678"/>
      <name val="Times New Roman"/>
      <family val="1"/>
    </font>
    <font>
      <b/>
      <i/>
      <sz val="9"/>
      <color theme="4" tint="-0.24997000396251678"/>
      <name val="Times New Roman"/>
      <family val="1"/>
    </font>
    <font>
      <sz val="10"/>
      <color theme="4" tint="-0.24997000396251678"/>
      <name val="Arial Cyr"/>
      <family val="0"/>
    </font>
    <font>
      <sz val="10"/>
      <color rgb="FFFF0000"/>
      <name val="Arial Cyr"/>
      <family val="0"/>
    </font>
    <font>
      <sz val="11"/>
      <color rgb="FFFF0000"/>
      <name val="Arial Cyr"/>
      <family val="0"/>
    </font>
    <font>
      <sz val="9"/>
      <color rgb="FFFF0000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sz val="9"/>
      <color rgb="FFFF0000"/>
      <name val="Times New Roman"/>
      <family val="1"/>
    </font>
    <font>
      <sz val="9"/>
      <color rgb="FFE13FC2"/>
      <name val="Times New Roman"/>
      <family val="1"/>
    </font>
    <font>
      <sz val="8"/>
      <color rgb="FFFF0000"/>
      <name val="Times New Roman Cyr"/>
      <family val="0"/>
    </font>
    <font>
      <sz val="8"/>
      <color rgb="FFFF0000"/>
      <name val="Times New Roman"/>
      <family val="1"/>
    </font>
    <font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uble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medium"/>
      <top style="thin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1" applyNumberFormat="0" applyAlignment="0" applyProtection="0"/>
    <xf numFmtId="0" fontId="65" fillId="27" borderId="2" applyNumberFormat="0" applyAlignment="0" applyProtection="0"/>
    <xf numFmtId="0" fontId="66" fillId="27" borderId="1" applyNumberFormat="0" applyAlignment="0" applyProtection="0"/>
    <xf numFmtId="0" fontId="6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6" applyNumberFormat="0" applyFill="0" applyAlignment="0" applyProtection="0"/>
    <xf numFmtId="0" fontId="72" fillId="28" borderId="7" applyNumberFormat="0" applyAlignment="0" applyProtection="0"/>
    <xf numFmtId="0" fontId="73" fillId="0" borderId="0" applyNumberFormat="0" applyFill="0" applyBorder="0" applyAlignment="0" applyProtection="0"/>
    <xf numFmtId="0" fontId="74" fillId="29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30" borderId="0" applyNumberFormat="0" applyBorder="0" applyAlignment="0" applyProtection="0"/>
    <xf numFmtId="0" fontId="7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8" fillId="0" borderId="9" applyNumberFormat="0" applyFill="0" applyAlignment="0" applyProtection="0"/>
    <xf numFmtId="0" fontId="7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0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178" fontId="0" fillId="0" borderId="0" xfId="0" applyNumberForma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2" fillId="0" borderId="10" xfId="0" applyNumberFormat="1" applyFont="1" applyBorder="1" applyAlignment="1">
      <alignment horizontal="center" vertical="center" wrapText="1"/>
    </xf>
    <xf numFmtId="178" fontId="8" fillId="0" borderId="10" xfId="0" applyNumberFormat="1" applyFont="1" applyBorder="1" applyAlignment="1">
      <alignment horizontal="center" wrapText="1"/>
    </xf>
    <xf numFmtId="177" fontId="8" fillId="0" borderId="10" xfId="0" applyNumberFormat="1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8" fillId="0" borderId="10" xfId="0" applyNumberFormat="1" applyFont="1" applyBorder="1" applyAlignment="1">
      <alignment horizontal="center" vertical="top" wrapText="1"/>
    </xf>
    <xf numFmtId="0" fontId="6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11" fillId="0" borderId="10" xfId="0" applyNumberFormat="1" applyFont="1" applyBorder="1" applyAlignment="1">
      <alignment horizontal="center" vertical="center"/>
    </xf>
    <xf numFmtId="0" fontId="8" fillId="0" borderId="10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vertical="center" textRotation="90" wrapText="1"/>
    </xf>
    <xf numFmtId="2" fontId="14" fillId="0" borderId="0" xfId="0" applyNumberFormat="1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2" fontId="81" fillId="0" borderId="0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82" fillId="0" borderId="0" xfId="0" applyFont="1" applyAlignment="1">
      <alignment horizontal="center"/>
    </xf>
    <xf numFmtId="1" fontId="83" fillId="0" borderId="12" xfId="0" applyNumberFormat="1" applyFont="1" applyBorder="1" applyAlignment="1">
      <alignment horizontal="center" wrapText="1"/>
    </xf>
    <xf numFmtId="1" fontId="84" fillId="0" borderId="10" xfId="0" applyNumberFormat="1" applyFont="1" applyBorder="1" applyAlignment="1">
      <alignment horizontal="center" vertical="center" wrapText="1"/>
    </xf>
    <xf numFmtId="0" fontId="85" fillId="0" borderId="0" xfId="0" applyFont="1" applyAlignment="1">
      <alignment/>
    </xf>
    <xf numFmtId="0" fontId="86" fillId="0" borderId="0" xfId="0" applyFont="1" applyAlignment="1">
      <alignment/>
    </xf>
    <xf numFmtId="0" fontId="87" fillId="0" borderId="11" xfId="0" applyFont="1" applyBorder="1" applyAlignment="1">
      <alignment/>
    </xf>
    <xf numFmtId="0" fontId="88" fillId="0" borderId="0" xfId="0" applyFont="1" applyAlignment="1">
      <alignment/>
    </xf>
    <xf numFmtId="0" fontId="89" fillId="0" borderId="0" xfId="0" applyFont="1" applyAlignment="1">
      <alignment/>
    </xf>
    <xf numFmtId="0" fontId="90" fillId="0" borderId="0" xfId="0" applyFont="1" applyAlignment="1">
      <alignment/>
    </xf>
    <xf numFmtId="0" fontId="0" fillId="33" borderId="0" xfId="0" applyFill="1" applyAlignment="1">
      <alignment/>
    </xf>
    <xf numFmtId="1" fontId="91" fillId="0" borderId="10" xfId="0" applyNumberFormat="1" applyFont="1" applyBorder="1" applyAlignment="1">
      <alignment horizontal="center"/>
    </xf>
    <xf numFmtId="2" fontId="92" fillId="0" borderId="13" xfId="0" applyNumberFormat="1" applyFont="1" applyBorder="1" applyAlignment="1">
      <alignment horizontal="center" wrapText="1"/>
    </xf>
    <xf numFmtId="0" fontId="16" fillId="0" borderId="0" xfId="0" applyFont="1" applyAlignment="1">
      <alignment/>
    </xf>
    <xf numFmtId="0" fontId="6" fillId="0" borderId="0" xfId="0" applyFont="1" applyAlignment="1">
      <alignment/>
    </xf>
    <xf numFmtId="0" fontId="14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2" fillId="0" borderId="10" xfId="0" applyFont="1" applyBorder="1" applyAlignment="1">
      <alignment horizontal="center" vertical="center" wrapText="1"/>
    </xf>
    <xf numFmtId="0" fontId="22" fillId="0" borderId="14" xfId="0" applyNumberFormat="1" applyFont="1" applyFill="1" applyBorder="1" applyAlignment="1" applyProtection="1">
      <alignment horizontal="center" vertical="center" wrapText="1"/>
      <protection locked="0"/>
    </xf>
    <xf numFmtId="179" fontId="22" fillId="0" borderId="10" xfId="0" applyNumberFormat="1" applyFont="1" applyBorder="1" applyAlignment="1">
      <alignment horizontal="center" vertical="center" wrapText="1"/>
    </xf>
    <xf numFmtId="178" fontId="22" fillId="0" borderId="10" xfId="0" applyNumberFormat="1" applyFont="1" applyBorder="1" applyAlignment="1">
      <alignment horizontal="center" vertical="center" wrapText="1"/>
    </xf>
    <xf numFmtId="177" fontId="22" fillId="0" borderId="10" xfId="0" applyNumberFormat="1" applyFont="1" applyBorder="1" applyAlignment="1">
      <alignment horizontal="center" vertical="center" wrapText="1"/>
    </xf>
    <xf numFmtId="1" fontId="22" fillId="0" borderId="10" xfId="0" applyNumberFormat="1" applyFont="1" applyBorder="1" applyAlignment="1">
      <alignment horizontal="center" vertical="center" wrapText="1"/>
    </xf>
    <xf numFmtId="2" fontId="22" fillId="0" borderId="10" xfId="0" applyNumberFormat="1" applyFont="1" applyBorder="1" applyAlignment="1">
      <alignment horizontal="center" vertical="center" wrapText="1"/>
    </xf>
    <xf numFmtId="0" fontId="25" fillId="34" borderId="14" xfId="0" applyNumberFormat="1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2" fillId="0" borderId="14" xfId="0" applyNumberFormat="1" applyFont="1" applyFill="1" applyBorder="1" applyAlignment="1">
      <alignment horizontal="center" vertical="center" wrapText="1"/>
    </xf>
    <xf numFmtId="0" fontId="25" fillId="0" borderId="14" xfId="0" applyNumberFormat="1" applyFont="1" applyBorder="1" applyAlignment="1" applyProtection="1">
      <alignment horizontal="center" vertical="center" wrapText="1"/>
      <protection locked="0"/>
    </xf>
    <xf numFmtId="0" fontId="25" fillId="0" borderId="15" xfId="0" applyFont="1" applyBorder="1" applyAlignment="1">
      <alignment horizontal="center" vertical="center"/>
    </xf>
    <xf numFmtId="0" fontId="25" fillId="0" borderId="16" xfId="0" applyNumberFormat="1" applyFont="1" applyBorder="1" applyAlignment="1">
      <alignment horizontal="center" vertical="center" wrapText="1"/>
    </xf>
    <xf numFmtId="0" fontId="26" fillId="0" borderId="10" xfId="0" applyFont="1" applyBorder="1" applyAlignment="1">
      <alignment/>
    </xf>
    <xf numFmtId="0" fontId="27" fillId="0" borderId="15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0" borderId="14" xfId="0" applyNumberFormat="1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22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>
      <alignment horizontal="left"/>
    </xf>
    <xf numFmtId="0" fontId="1" fillId="0" borderId="11" xfId="0" applyFont="1" applyBorder="1" applyAlignment="1">
      <alignment/>
    </xf>
    <xf numFmtId="0" fontId="2" fillId="0" borderId="0" xfId="0" applyFont="1" applyAlignment="1">
      <alignment horizontal="left"/>
    </xf>
    <xf numFmtId="0" fontId="10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0" fontId="14" fillId="0" borderId="0" xfId="0" applyFont="1" applyBorder="1" applyAlignment="1">
      <alignment vertical="center"/>
    </xf>
    <xf numFmtId="0" fontId="93" fillId="0" borderId="15" xfId="0" applyFont="1" applyBorder="1" applyAlignment="1">
      <alignment horizontal="center" vertical="center"/>
    </xf>
    <xf numFmtId="0" fontId="93" fillId="0" borderId="10" xfId="0" applyFont="1" applyBorder="1" applyAlignment="1">
      <alignment horizontal="center" vertical="center"/>
    </xf>
    <xf numFmtId="0" fontId="94" fillId="0" borderId="10" xfId="0" applyFont="1" applyBorder="1" applyAlignment="1">
      <alignment horizontal="center" vertical="center"/>
    </xf>
    <xf numFmtId="0" fontId="8" fillId="35" borderId="10" xfId="0" applyNumberFormat="1" applyFont="1" applyFill="1" applyBorder="1" applyAlignment="1">
      <alignment horizontal="center" vertical="center" wrapText="1"/>
    </xf>
    <xf numFmtId="1" fontId="91" fillId="35" borderId="10" xfId="0" applyNumberFormat="1" applyFont="1" applyFill="1" applyBorder="1" applyAlignment="1">
      <alignment horizontal="center"/>
    </xf>
    <xf numFmtId="1" fontId="83" fillId="35" borderId="12" xfId="0" applyNumberFormat="1" applyFont="1" applyFill="1" applyBorder="1" applyAlignment="1">
      <alignment horizontal="center" wrapText="1"/>
    </xf>
    <xf numFmtId="2" fontId="92" fillId="35" borderId="13" xfId="0" applyNumberFormat="1" applyFont="1" applyFill="1" applyBorder="1" applyAlignment="1">
      <alignment horizontal="center" wrapText="1"/>
    </xf>
    <xf numFmtId="2" fontId="14" fillId="35" borderId="0" xfId="0" applyNumberFormat="1" applyFont="1" applyFill="1" applyBorder="1" applyAlignment="1">
      <alignment horizontal="center" wrapText="1"/>
    </xf>
    <xf numFmtId="2" fontId="0" fillId="35" borderId="0" xfId="0" applyNumberFormat="1" applyFill="1" applyAlignment="1">
      <alignment/>
    </xf>
    <xf numFmtId="0" fontId="0" fillId="35" borderId="0" xfId="0" applyFill="1" applyAlignment="1">
      <alignment/>
    </xf>
    <xf numFmtId="2" fontId="92" fillId="0" borderId="13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22" fillId="0" borderId="10" xfId="0" applyFont="1" applyBorder="1" applyAlignment="1">
      <alignment horizontal="center" vertical="center" textRotation="90" wrapText="1"/>
    </xf>
    <xf numFmtId="0" fontId="22" fillId="0" borderId="17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 textRotation="90" wrapText="1"/>
    </xf>
    <xf numFmtId="0" fontId="22" fillId="0" borderId="21" xfId="0" applyFont="1" applyBorder="1" applyAlignment="1">
      <alignment horizontal="center" vertical="center" textRotation="90" wrapText="1"/>
    </xf>
    <xf numFmtId="0" fontId="22" fillId="0" borderId="22" xfId="0" applyFont="1" applyBorder="1" applyAlignment="1">
      <alignment horizontal="center" vertical="center" textRotation="90" wrapText="1"/>
    </xf>
    <xf numFmtId="0" fontId="14" fillId="0" borderId="0" xfId="0" applyFont="1" applyAlignment="1">
      <alignment horizontal="left" vertical="center" wrapText="1"/>
    </xf>
    <xf numFmtId="0" fontId="14" fillId="0" borderId="0" xfId="0" applyFont="1" applyBorder="1" applyAlignment="1">
      <alignment horizontal="left" vertical="center"/>
    </xf>
    <xf numFmtId="0" fontId="0" fillId="0" borderId="23" xfId="0" applyBorder="1" applyAlignment="1">
      <alignment wrapText="1"/>
    </xf>
    <xf numFmtId="0" fontId="14" fillId="0" borderId="0" xfId="0" applyFont="1" applyAlignment="1">
      <alignment horizontal="center" vertical="center"/>
    </xf>
    <xf numFmtId="0" fontId="22" fillId="0" borderId="24" xfId="0" applyNumberFormat="1" applyFont="1" applyFill="1" applyBorder="1" applyAlignment="1">
      <alignment horizontal="center" vertical="center" textRotation="90" wrapText="1"/>
    </xf>
    <xf numFmtId="0" fontId="22" fillId="0" borderId="25" xfId="0" applyNumberFormat="1" applyFont="1" applyFill="1" applyBorder="1" applyAlignment="1">
      <alignment horizontal="center" vertical="center" textRotation="90" wrapText="1"/>
    </xf>
    <xf numFmtId="0" fontId="22" fillId="0" borderId="26" xfId="0" applyNumberFormat="1" applyFont="1" applyFill="1" applyBorder="1" applyAlignment="1">
      <alignment horizontal="center" vertical="center" textRotation="90" wrapText="1"/>
    </xf>
    <xf numFmtId="0" fontId="0" fillId="0" borderId="20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textRotation="90" wrapText="1"/>
    </xf>
    <xf numFmtId="0" fontId="10" fillId="0" borderId="27" xfId="0" applyFont="1" applyBorder="1" applyAlignment="1">
      <alignment horizontal="center" vertical="center" textRotation="90" wrapText="1"/>
    </xf>
    <xf numFmtId="0" fontId="10" fillId="0" borderId="28" xfId="0" applyFont="1" applyBorder="1" applyAlignment="1">
      <alignment horizontal="center" vertical="center" textRotation="90" wrapText="1"/>
    </xf>
    <xf numFmtId="0" fontId="10" fillId="0" borderId="17" xfId="0" applyFont="1" applyBorder="1" applyAlignment="1">
      <alignment horizontal="center" vertical="center" textRotation="90" wrapText="1"/>
    </xf>
    <xf numFmtId="0" fontId="9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29" xfId="0" applyFont="1" applyBorder="1" applyAlignment="1">
      <alignment horizontal="center" vertical="center" textRotation="90" wrapText="1"/>
    </xf>
    <xf numFmtId="0" fontId="10" fillId="0" borderId="30" xfId="0" applyFont="1" applyBorder="1" applyAlignment="1">
      <alignment horizontal="center" vertical="center" textRotation="90" wrapText="1"/>
    </xf>
    <xf numFmtId="0" fontId="10" fillId="0" borderId="31" xfId="0" applyFont="1" applyBorder="1" applyAlignment="1">
      <alignment horizontal="center" vertical="center" textRotation="90" wrapText="1"/>
    </xf>
    <xf numFmtId="0" fontId="11" fillId="0" borderId="28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textRotation="90" wrapText="1"/>
    </xf>
    <xf numFmtId="0" fontId="0" fillId="0" borderId="0" xfId="0" applyNumberFormat="1" applyAlignment="1">
      <alignment horizontal="center" wrapText="1"/>
    </xf>
    <xf numFmtId="0" fontId="12" fillId="0" borderId="0" xfId="0" applyFont="1" applyAlignment="1">
      <alignment horizontal="center"/>
    </xf>
    <xf numFmtId="0" fontId="14" fillId="0" borderId="0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95" fillId="0" borderId="32" xfId="0" applyFont="1" applyBorder="1" applyAlignment="1">
      <alignment horizontal="center" vertical="center" textRotation="90" wrapText="1"/>
    </xf>
    <xf numFmtId="0" fontId="95" fillId="0" borderId="33" xfId="0" applyFont="1" applyBorder="1" applyAlignment="1">
      <alignment horizontal="center" vertical="center" textRotation="90" wrapText="1"/>
    </xf>
    <xf numFmtId="0" fontId="95" fillId="0" borderId="34" xfId="0" applyFont="1" applyBorder="1" applyAlignment="1">
      <alignment horizontal="center" vertical="center" textRotation="90" wrapText="1"/>
    </xf>
    <xf numFmtId="0" fontId="0" fillId="0" borderId="0" xfId="0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4"/>
  <sheetViews>
    <sheetView zoomScaleSheetLayoutView="100" zoomScalePageLayoutView="0" workbookViewId="0" topLeftCell="A7">
      <selection activeCell="N31" sqref="N31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3" width="7.25390625" style="0" customWidth="1"/>
    <col min="4" max="4" width="7.75390625" style="0" customWidth="1"/>
    <col min="5" max="6" width="7.875" style="0" customWidth="1"/>
    <col min="7" max="7" width="7.75390625" style="0" customWidth="1"/>
    <col min="8" max="8" width="8.00390625" style="0" customWidth="1"/>
    <col min="9" max="9" width="7.75390625" style="0" customWidth="1"/>
    <col min="10" max="10" width="7.625" style="0" customWidth="1"/>
    <col min="11" max="11" width="8.125" style="0" customWidth="1"/>
    <col min="12" max="12" width="7.375" style="0" customWidth="1"/>
    <col min="13" max="14" width="7.875" style="0" customWidth="1"/>
    <col min="15" max="15" width="7.25390625" style="0" customWidth="1"/>
    <col min="16" max="17" width="7.75390625" style="0" customWidth="1"/>
    <col min="18" max="19" width="7.375" style="0" customWidth="1"/>
    <col min="20" max="21" width="8.125" style="0" customWidth="1"/>
    <col min="22" max="22" width="7.625" style="0" customWidth="1"/>
    <col min="23" max="24" width="9.125" style="0" customWidth="1"/>
    <col min="25" max="25" width="9.125" style="6" customWidth="1"/>
  </cols>
  <sheetData>
    <row r="1" spans="2:23" ht="12.75">
      <c r="B1" s="72" t="s">
        <v>9</v>
      </c>
      <c r="C1" s="72"/>
      <c r="D1" s="72"/>
      <c r="E1" s="72"/>
      <c r="F1" s="36"/>
      <c r="G1" s="36"/>
      <c r="H1" s="36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</row>
    <row r="2" spans="2:23" ht="12.75">
      <c r="B2" s="72" t="s">
        <v>10</v>
      </c>
      <c r="C2" s="72"/>
      <c r="D2" s="72"/>
      <c r="E2" s="72"/>
      <c r="F2" s="36"/>
      <c r="G2" s="36"/>
      <c r="H2" s="36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</row>
    <row r="3" spans="2:23" ht="15">
      <c r="B3" s="42" t="s">
        <v>23</v>
      </c>
      <c r="C3" s="43"/>
      <c r="D3" s="43"/>
      <c r="E3" s="43"/>
      <c r="F3" s="43"/>
      <c r="G3" s="43"/>
      <c r="H3" s="43"/>
      <c r="I3" s="2"/>
      <c r="J3" s="37"/>
      <c r="K3" s="37"/>
      <c r="L3" s="37"/>
      <c r="M3" s="37"/>
      <c r="N3" s="37"/>
      <c r="O3" s="38"/>
      <c r="P3" s="38"/>
      <c r="Q3" s="38"/>
      <c r="R3" s="38"/>
      <c r="S3" s="38"/>
      <c r="T3" s="38"/>
      <c r="U3" s="38"/>
      <c r="V3" s="38"/>
      <c r="W3" s="38"/>
    </row>
    <row r="4" spans="2:23" ht="15">
      <c r="B4" s="43" t="s">
        <v>11</v>
      </c>
      <c r="C4" s="43"/>
      <c r="D4" s="43"/>
      <c r="E4" s="43"/>
      <c r="F4" s="43"/>
      <c r="G4" s="43"/>
      <c r="H4" s="43"/>
      <c r="I4" s="2"/>
      <c r="J4" s="37"/>
      <c r="K4" s="37"/>
      <c r="L4" s="37"/>
      <c r="M4" s="37"/>
      <c r="N4" s="37"/>
      <c r="O4" s="38"/>
      <c r="P4" s="38"/>
      <c r="Q4" s="38"/>
      <c r="R4" s="38"/>
      <c r="S4" s="38"/>
      <c r="T4" s="38"/>
      <c r="U4" s="38"/>
      <c r="V4" s="38"/>
      <c r="W4" s="38"/>
    </row>
    <row r="5" spans="2:23" ht="15">
      <c r="B5" s="43" t="s">
        <v>24</v>
      </c>
      <c r="C5" s="43"/>
      <c r="D5" s="43"/>
      <c r="E5" s="43"/>
      <c r="F5" s="43"/>
      <c r="G5" s="43"/>
      <c r="H5" s="43"/>
      <c r="I5" s="2"/>
      <c r="J5" s="37"/>
      <c r="K5" s="37"/>
      <c r="L5" s="37"/>
      <c r="M5" s="37"/>
      <c r="N5" s="37"/>
      <c r="O5" s="38"/>
      <c r="P5" s="38"/>
      <c r="Q5" s="38"/>
      <c r="R5" s="38"/>
      <c r="S5" s="38"/>
      <c r="T5" s="38"/>
      <c r="U5" s="38"/>
      <c r="V5" s="38"/>
      <c r="W5" s="38"/>
    </row>
    <row r="6" spans="2:23" ht="15">
      <c r="B6" s="43"/>
      <c r="C6" s="43"/>
      <c r="D6" s="43"/>
      <c r="E6" s="43"/>
      <c r="F6" s="43"/>
      <c r="G6" s="43"/>
      <c r="H6" s="43"/>
      <c r="I6" s="2"/>
      <c r="J6" s="37"/>
      <c r="K6" s="37"/>
      <c r="L6" s="37"/>
      <c r="M6" s="37"/>
      <c r="N6" s="37"/>
      <c r="O6" s="38"/>
      <c r="P6" s="38"/>
      <c r="Q6" s="38"/>
      <c r="R6" s="38"/>
      <c r="S6" s="38"/>
      <c r="T6" s="38"/>
      <c r="U6" s="38"/>
      <c r="V6" s="38"/>
      <c r="W6" s="38"/>
    </row>
    <row r="7" spans="1:23" ht="21.75" customHeight="1">
      <c r="A7" s="100" t="s">
        <v>3</v>
      </c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44"/>
      <c r="W7" s="45"/>
    </row>
    <row r="8" spans="1:25" s="46" customFormat="1" ht="42" customHeight="1">
      <c r="A8" s="97" t="s">
        <v>54</v>
      </c>
      <c r="B8" s="97"/>
      <c r="C8" s="97"/>
      <c r="D8" s="97"/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  <c r="T8" s="97"/>
      <c r="U8" s="97"/>
      <c r="V8" s="97"/>
      <c r="W8" s="97"/>
      <c r="X8" s="97"/>
      <c r="Y8" s="47"/>
    </row>
    <row r="9" spans="1:25" s="46" customFormat="1" ht="19.5" customHeight="1">
      <c r="A9" s="98" t="s">
        <v>78</v>
      </c>
      <c r="B9" s="98"/>
      <c r="C9" s="98"/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  <c r="V9" s="98"/>
      <c r="W9" s="98"/>
      <c r="X9" s="98"/>
      <c r="Y9" s="47"/>
    </row>
    <row r="10" spans="2:23" ht="12" customHeight="1" thickBot="1">
      <c r="B10" s="18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3"/>
    </row>
    <row r="11" spans="2:25" ht="30" customHeight="1">
      <c r="B11" s="101" t="s">
        <v>27</v>
      </c>
      <c r="C11" s="104" t="s">
        <v>28</v>
      </c>
      <c r="D11" s="105"/>
      <c r="E11" s="105"/>
      <c r="F11" s="105"/>
      <c r="G11" s="105"/>
      <c r="H11" s="105"/>
      <c r="I11" s="105"/>
      <c r="J11" s="105"/>
      <c r="K11" s="105"/>
      <c r="L11" s="105"/>
      <c r="M11" s="92" t="s">
        <v>47</v>
      </c>
      <c r="N11" s="92" t="s">
        <v>48</v>
      </c>
      <c r="O11" s="92" t="s">
        <v>2</v>
      </c>
      <c r="P11" s="92" t="s">
        <v>29</v>
      </c>
      <c r="Q11" s="92" t="s">
        <v>30</v>
      </c>
      <c r="R11" s="92" t="s">
        <v>31</v>
      </c>
      <c r="S11" s="92" t="s">
        <v>32</v>
      </c>
      <c r="T11" s="94" t="s">
        <v>46</v>
      </c>
      <c r="U11" s="94" t="s">
        <v>33</v>
      </c>
      <c r="V11" s="95" t="s">
        <v>4</v>
      </c>
      <c r="X11" s="6"/>
      <c r="Y11"/>
    </row>
    <row r="12" spans="2:25" ht="48.75" customHeight="1">
      <c r="B12" s="102"/>
      <c r="C12" s="88" t="s">
        <v>34</v>
      </c>
      <c r="D12" s="88" t="s">
        <v>35</v>
      </c>
      <c r="E12" s="88" t="s">
        <v>36</v>
      </c>
      <c r="F12" s="88" t="s">
        <v>37</v>
      </c>
      <c r="G12" s="88" t="s">
        <v>38</v>
      </c>
      <c r="H12" s="88" t="s">
        <v>39</v>
      </c>
      <c r="I12" s="88" t="s">
        <v>40</v>
      </c>
      <c r="J12" s="88" t="s">
        <v>41</v>
      </c>
      <c r="K12" s="88" t="s">
        <v>42</v>
      </c>
      <c r="L12" s="88" t="s">
        <v>43</v>
      </c>
      <c r="M12" s="93"/>
      <c r="N12" s="93"/>
      <c r="O12" s="93"/>
      <c r="P12" s="93"/>
      <c r="Q12" s="93"/>
      <c r="R12" s="93"/>
      <c r="S12" s="93"/>
      <c r="T12" s="88"/>
      <c r="U12" s="88"/>
      <c r="V12" s="96"/>
      <c r="X12" s="6"/>
      <c r="Y12"/>
    </row>
    <row r="13" spans="2:25" ht="15.75" customHeight="1">
      <c r="B13" s="103"/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93"/>
      <c r="N13" s="93"/>
      <c r="O13" s="89" t="s">
        <v>44</v>
      </c>
      <c r="P13" s="90"/>
      <c r="Q13" s="90"/>
      <c r="R13" s="90"/>
      <c r="S13" s="91"/>
      <c r="T13" s="88"/>
      <c r="U13" s="88"/>
      <c r="V13" s="96"/>
      <c r="X13" s="6"/>
      <c r="Y13"/>
    </row>
    <row r="14" spans="2:25" ht="12.75" customHeight="1">
      <c r="B14" s="49">
        <v>1</v>
      </c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1"/>
      <c r="N14" s="52"/>
      <c r="O14" s="50"/>
      <c r="P14" s="53"/>
      <c r="Q14" s="53"/>
      <c r="R14" s="54"/>
      <c r="S14" s="54"/>
      <c r="T14" s="54"/>
      <c r="U14" s="48"/>
      <c r="V14" s="48"/>
      <c r="W14" s="4">
        <f aca="true" t="shared" si="0" ref="W14:W43">SUM(C14:N14)</f>
        <v>0</v>
      </c>
      <c r="X14" s="6"/>
      <c r="Y14"/>
    </row>
    <row r="15" spans="2:25" ht="12.75" customHeight="1">
      <c r="B15" s="55">
        <f>B14+1</f>
        <v>2</v>
      </c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1"/>
      <c r="N15" s="52"/>
      <c r="O15" s="50"/>
      <c r="P15" s="53"/>
      <c r="Q15" s="53"/>
      <c r="R15" s="54"/>
      <c r="S15" s="54"/>
      <c r="T15" s="54"/>
      <c r="U15" s="56"/>
      <c r="V15" s="56"/>
      <c r="W15" s="4">
        <f t="shared" si="0"/>
        <v>0</v>
      </c>
      <c r="X15" s="30" t="str">
        <f>IF(W15=100,"ОК"," ")</f>
        <v> </v>
      </c>
      <c r="Y15"/>
    </row>
    <row r="16" spans="2:25" ht="12.75" customHeight="1">
      <c r="B16" s="57">
        <f aca="true" t="shared" si="1" ref="B16:B41">B15+1</f>
        <v>3</v>
      </c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1"/>
      <c r="N16" s="52"/>
      <c r="O16" s="50"/>
      <c r="P16" s="53"/>
      <c r="Q16" s="53"/>
      <c r="R16" s="54"/>
      <c r="S16" s="54"/>
      <c r="T16" s="54"/>
      <c r="U16" s="48"/>
      <c r="V16" s="48"/>
      <c r="W16" s="4">
        <f t="shared" si="0"/>
        <v>0</v>
      </c>
      <c r="X16" s="30" t="str">
        <f>IF(W16=100,"ОК"," ")</f>
        <v> </v>
      </c>
      <c r="Y16"/>
    </row>
    <row r="17" spans="2:25" ht="12.75" customHeight="1">
      <c r="B17" s="57">
        <f t="shared" si="1"/>
        <v>4</v>
      </c>
      <c r="C17" s="50">
        <v>92.4668</v>
      </c>
      <c r="D17" s="50">
        <v>4.0805</v>
      </c>
      <c r="E17" s="50">
        <v>1.0031</v>
      </c>
      <c r="F17" s="50">
        <v>0.1247</v>
      </c>
      <c r="G17" s="50">
        <v>0.202</v>
      </c>
      <c r="H17" s="50">
        <v>0.1265</v>
      </c>
      <c r="I17" s="50">
        <v>0.0851</v>
      </c>
      <c r="J17" s="50">
        <v>1.5983</v>
      </c>
      <c r="K17" s="50">
        <v>0.3041</v>
      </c>
      <c r="L17" s="50">
        <v>0.009</v>
      </c>
      <c r="M17" s="51"/>
      <c r="N17" s="52"/>
      <c r="O17" s="50">
        <v>0.7267</v>
      </c>
      <c r="P17" s="53">
        <v>8329.27</v>
      </c>
      <c r="Q17" s="53">
        <v>11874.44</v>
      </c>
      <c r="R17" s="54">
        <v>34.873</v>
      </c>
      <c r="S17" s="54">
        <v>49.7159</v>
      </c>
      <c r="T17" s="54"/>
      <c r="U17" s="48"/>
      <c r="V17" s="48"/>
      <c r="W17" s="4">
        <f t="shared" si="0"/>
        <v>100.0001</v>
      </c>
      <c r="X17" s="30" t="str">
        <f>IF(W17=100,"ОК"," ")</f>
        <v> </v>
      </c>
      <c r="Y17"/>
    </row>
    <row r="18" spans="2:25" ht="12.75" customHeight="1">
      <c r="B18" s="58">
        <f t="shared" si="1"/>
        <v>5</v>
      </c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1"/>
      <c r="N18" s="52"/>
      <c r="O18" s="50"/>
      <c r="P18" s="53"/>
      <c r="Q18" s="53"/>
      <c r="R18" s="54"/>
      <c r="S18" s="54"/>
      <c r="T18" s="54"/>
      <c r="U18" s="48"/>
      <c r="V18" s="48"/>
      <c r="W18" s="4">
        <f t="shared" si="0"/>
        <v>0</v>
      </c>
      <c r="X18" s="30" t="str">
        <f aca="true" t="shared" si="2" ref="X18:X43">IF(W18=100,"ОК"," ")</f>
        <v> </v>
      </c>
      <c r="Y18"/>
    </row>
    <row r="19" spans="2:25" ht="12.75" customHeight="1">
      <c r="B19" s="55">
        <f t="shared" si="1"/>
        <v>6</v>
      </c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1"/>
      <c r="N19" s="52"/>
      <c r="O19" s="50"/>
      <c r="P19" s="53"/>
      <c r="Q19" s="53"/>
      <c r="R19" s="54"/>
      <c r="S19" s="54"/>
      <c r="T19" s="54"/>
      <c r="U19" s="48"/>
      <c r="V19" s="48"/>
      <c r="W19" s="4">
        <f t="shared" si="0"/>
        <v>0</v>
      </c>
      <c r="X19" s="30" t="str">
        <f t="shared" si="2"/>
        <v> </v>
      </c>
      <c r="Y19"/>
    </row>
    <row r="20" spans="2:25" ht="12.75" customHeight="1">
      <c r="B20" s="57">
        <f t="shared" si="1"/>
        <v>7</v>
      </c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1"/>
      <c r="N20" s="56"/>
      <c r="O20" s="50"/>
      <c r="P20" s="53"/>
      <c r="Q20" s="53"/>
      <c r="R20" s="54"/>
      <c r="S20" s="54"/>
      <c r="T20" s="54"/>
      <c r="U20" s="56"/>
      <c r="V20" s="56"/>
      <c r="W20" s="4">
        <f t="shared" si="0"/>
        <v>0</v>
      </c>
      <c r="X20" s="30" t="str">
        <f t="shared" si="2"/>
        <v> </v>
      </c>
      <c r="Y20"/>
    </row>
    <row r="21" spans="2:25" ht="12.75" customHeight="1">
      <c r="B21" s="58">
        <f t="shared" si="1"/>
        <v>8</v>
      </c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1"/>
      <c r="N21" s="56"/>
      <c r="O21" s="50"/>
      <c r="P21" s="53"/>
      <c r="Q21" s="53"/>
      <c r="R21" s="54"/>
      <c r="S21" s="54"/>
      <c r="T21" s="54"/>
      <c r="U21" s="59"/>
      <c r="V21" s="59"/>
      <c r="W21" s="4">
        <f t="shared" si="0"/>
        <v>0</v>
      </c>
      <c r="X21" s="30" t="str">
        <f t="shared" si="2"/>
        <v> </v>
      </c>
      <c r="Y21"/>
    </row>
    <row r="22" spans="2:25" ht="12.75" customHeight="1">
      <c r="B22" s="55">
        <f t="shared" si="1"/>
        <v>9</v>
      </c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1"/>
      <c r="N22" s="56"/>
      <c r="O22" s="50"/>
      <c r="P22" s="53"/>
      <c r="Q22" s="53"/>
      <c r="R22" s="54"/>
      <c r="S22" s="54"/>
      <c r="T22" s="54"/>
      <c r="U22" s="56"/>
      <c r="V22" s="56"/>
      <c r="W22" s="4">
        <f t="shared" si="0"/>
        <v>0</v>
      </c>
      <c r="X22" s="30" t="str">
        <f t="shared" si="2"/>
        <v> </v>
      </c>
      <c r="Y22"/>
    </row>
    <row r="23" spans="2:25" ht="12.75" customHeight="1">
      <c r="B23" s="60">
        <f t="shared" si="1"/>
        <v>10</v>
      </c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1"/>
      <c r="N23" s="56"/>
      <c r="O23" s="50"/>
      <c r="P23" s="53"/>
      <c r="Q23" s="53"/>
      <c r="R23" s="54"/>
      <c r="S23" s="54"/>
      <c r="T23" s="54"/>
      <c r="U23" s="56"/>
      <c r="V23" s="56"/>
      <c r="W23" s="4">
        <f t="shared" si="0"/>
        <v>0</v>
      </c>
      <c r="X23" s="30" t="str">
        <f t="shared" si="2"/>
        <v> </v>
      </c>
      <c r="Y23"/>
    </row>
    <row r="24" spans="2:25" ht="12.75" customHeight="1">
      <c r="B24" s="60">
        <f t="shared" si="1"/>
        <v>11</v>
      </c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1"/>
      <c r="N24" s="56"/>
      <c r="O24" s="50"/>
      <c r="P24" s="53"/>
      <c r="Q24" s="53"/>
      <c r="R24" s="54"/>
      <c r="S24" s="54"/>
      <c r="T24" s="54"/>
      <c r="U24" s="59"/>
      <c r="V24" s="59"/>
      <c r="W24" s="4">
        <f t="shared" si="0"/>
        <v>0</v>
      </c>
      <c r="X24" s="30" t="str">
        <f t="shared" si="2"/>
        <v> </v>
      </c>
      <c r="Y24"/>
    </row>
    <row r="25" spans="2:25" ht="12.75" customHeight="1">
      <c r="B25" s="58">
        <f t="shared" si="1"/>
        <v>12</v>
      </c>
      <c r="C25" s="50">
        <v>92.3514</v>
      </c>
      <c r="D25" s="50">
        <v>4.2033</v>
      </c>
      <c r="E25" s="50">
        <v>0.9955</v>
      </c>
      <c r="F25" s="50">
        <v>0.1342</v>
      </c>
      <c r="G25" s="50">
        <v>0.2195</v>
      </c>
      <c r="H25" s="50">
        <v>0.123</v>
      </c>
      <c r="I25" s="50">
        <v>0.0938</v>
      </c>
      <c r="J25" s="50">
        <v>1.5755</v>
      </c>
      <c r="K25" s="50">
        <v>0.2956</v>
      </c>
      <c r="L25" s="50">
        <v>0.0082</v>
      </c>
      <c r="M25" s="51"/>
      <c r="N25" s="56"/>
      <c r="O25" s="50">
        <v>0.7278</v>
      </c>
      <c r="P25" s="53">
        <v>8345.42</v>
      </c>
      <c r="Q25" s="53">
        <v>11888.12</v>
      </c>
      <c r="R25" s="54">
        <v>34.94</v>
      </c>
      <c r="S25" s="54">
        <v>49.7732</v>
      </c>
      <c r="T25" s="54"/>
      <c r="U25" s="56"/>
      <c r="V25" s="56"/>
      <c r="W25" s="4">
        <f t="shared" si="0"/>
        <v>100.00000000000001</v>
      </c>
      <c r="X25" s="30" t="str">
        <f t="shared" si="2"/>
        <v>ОК</v>
      </c>
      <c r="Y25"/>
    </row>
    <row r="26" spans="2:25" ht="12.75" customHeight="1">
      <c r="B26" s="55">
        <f t="shared" si="1"/>
        <v>13</v>
      </c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1"/>
      <c r="N26" s="56"/>
      <c r="O26" s="50"/>
      <c r="P26" s="53"/>
      <c r="Q26" s="53"/>
      <c r="R26" s="54"/>
      <c r="S26" s="54"/>
      <c r="T26" s="54"/>
      <c r="U26" s="56"/>
      <c r="V26" s="48"/>
      <c r="W26" s="4">
        <f t="shared" si="0"/>
        <v>0</v>
      </c>
      <c r="X26" s="30" t="str">
        <f t="shared" si="2"/>
        <v> </v>
      </c>
      <c r="Y26"/>
    </row>
    <row r="27" spans="2:25" ht="12.75" customHeight="1">
      <c r="B27" s="57">
        <f t="shared" si="1"/>
        <v>14</v>
      </c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53"/>
      <c r="Q27" s="53"/>
      <c r="R27" s="54"/>
      <c r="S27" s="54"/>
      <c r="T27" s="54"/>
      <c r="U27" s="59"/>
      <c r="V27" s="59"/>
      <c r="W27" s="4">
        <f t="shared" si="0"/>
        <v>0</v>
      </c>
      <c r="X27" s="30" t="str">
        <f t="shared" si="2"/>
        <v> </v>
      </c>
      <c r="Y27"/>
    </row>
    <row r="28" spans="2:25" ht="12.75" customHeight="1">
      <c r="B28" s="57">
        <f t="shared" si="1"/>
        <v>15</v>
      </c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1"/>
      <c r="N28" s="61"/>
      <c r="O28" s="50"/>
      <c r="P28" s="53"/>
      <c r="Q28" s="53"/>
      <c r="R28" s="54"/>
      <c r="S28" s="54"/>
      <c r="T28" s="54"/>
      <c r="U28" s="62"/>
      <c r="V28" s="63"/>
      <c r="W28" s="4">
        <f t="shared" si="0"/>
        <v>0</v>
      </c>
      <c r="X28" s="30" t="str">
        <f t="shared" si="2"/>
        <v> </v>
      </c>
      <c r="Y28"/>
    </row>
    <row r="29" spans="2:25" ht="12.75" customHeight="1">
      <c r="B29" s="55">
        <f t="shared" si="1"/>
        <v>16</v>
      </c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1"/>
      <c r="N29" s="61"/>
      <c r="O29" s="50"/>
      <c r="P29" s="53"/>
      <c r="Q29" s="53"/>
      <c r="R29" s="54"/>
      <c r="S29" s="54"/>
      <c r="T29" s="54"/>
      <c r="U29" s="65"/>
      <c r="V29" s="59"/>
      <c r="W29" s="4">
        <f t="shared" si="0"/>
        <v>0</v>
      </c>
      <c r="X29" s="30" t="str">
        <f t="shared" si="2"/>
        <v> </v>
      </c>
      <c r="Y29"/>
    </row>
    <row r="30" spans="2:25" ht="12.75" customHeight="1">
      <c r="B30" s="49">
        <f t="shared" si="1"/>
        <v>17</v>
      </c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1"/>
      <c r="N30" s="61"/>
      <c r="O30" s="50"/>
      <c r="P30" s="53"/>
      <c r="Q30" s="53"/>
      <c r="R30" s="54"/>
      <c r="S30" s="54"/>
      <c r="T30" s="76"/>
      <c r="U30" s="77"/>
      <c r="V30" s="78"/>
      <c r="W30" s="4">
        <f t="shared" si="0"/>
        <v>0</v>
      </c>
      <c r="X30" s="30" t="str">
        <f t="shared" si="2"/>
        <v> </v>
      </c>
      <c r="Y30"/>
    </row>
    <row r="31" spans="2:25" ht="12.75" customHeight="1">
      <c r="B31" s="49">
        <f t="shared" si="1"/>
        <v>18</v>
      </c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1"/>
      <c r="N31" s="61"/>
      <c r="O31" s="50"/>
      <c r="P31" s="53"/>
      <c r="Q31" s="53"/>
      <c r="R31" s="54"/>
      <c r="S31" s="54"/>
      <c r="T31" s="54"/>
      <c r="U31" s="56"/>
      <c r="V31" s="48"/>
      <c r="W31" s="4">
        <f t="shared" si="0"/>
        <v>0</v>
      </c>
      <c r="X31" s="30" t="str">
        <f t="shared" si="2"/>
        <v> </v>
      </c>
      <c r="Y31"/>
    </row>
    <row r="32" spans="2:25" ht="12.75" customHeight="1">
      <c r="B32" s="57">
        <f t="shared" si="1"/>
        <v>19</v>
      </c>
      <c r="C32" s="50">
        <v>92.4126</v>
      </c>
      <c r="D32" s="50">
        <v>4.1254</v>
      </c>
      <c r="E32" s="50">
        <v>0.9869</v>
      </c>
      <c r="F32" s="50">
        <v>0.1331</v>
      </c>
      <c r="G32" s="50">
        <v>0.2213</v>
      </c>
      <c r="H32" s="50">
        <v>0.1567</v>
      </c>
      <c r="I32" s="50">
        <v>0.1106</v>
      </c>
      <c r="J32" s="50">
        <v>1.5601</v>
      </c>
      <c r="K32" s="50">
        <v>0.2841</v>
      </c>
      <c r="L32" s="50">
        <v>0.0092</v>
      </c>
      <c r="M32" s="51"/>
      <c r="N32" s="61"/>
      <c r="O32" s="50">
        <v>0.7283</v>
      </c>
      <c r="P32" s="53">
        <v>8355.16</v>
      </c>
      <c r="Q32" s="53">
        <v>11897.27</v>
      </c>
      <c r="R32" s="54">
        <v>34.9814</v>
      </c>
      <c r="S32" s="54">
        <v>49.8115</v>
      </c>
      <c r="T32" s="54" t="s">
        <v>45</v>
      </c>
      <c r="U32" s="56">
        <v>0.006</v>
      </c>
      <c r="V32" s="56">
        <v>0.0001</v>
      </c>
      <c r="W32" s="4">
        <f t="shared" si="0"/>
        <v>100.00000000000001</v>
      </c>
      <c r="X32" s="30" t="str">
        <f t="shared" si="2"/>
        <v>ОК</v>
      </c>
      <c r="Y32"/>
    </row>
    <row r="33" spans="2:25" ht="12.75" customHeight="1">
      <c r="B33" s="57">
        <f t="shared" si="1"/>
        <v>20</v>
      </c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1"/>
      <c r="N33" s="61"/>
      <c r="O33" s="50"/>
      <c r="P33" s="53"/>
      <c r="Q33" s="53"/>
      <c r="R33" s="54"/>
      <c r="S33" s="54"/>
      <c r="T33" s="54"/>
      <c r="U33" s="56"/>
      <c r="V33" s="56"/>
      <c r="W33" s="4">
        <f t="shared" si="0"/>
        <v>0</v>
      </c>
      <c r="X33" s="30" t="str">
        <f t="shared" si="2"/>
        <v> </v>
      </c>
      <c r="Y33"/>
    </row>
    <row r="34" spans="2:25" ht="12.75" customHeight="1">
      <c r="B34" s="55">
        <f t="shared" si="1"/>
        <v>21</v>
      </c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1"/>
      <c r="N34" s="61"/>
      <c r="O34" s="50"/>
      <c r="P34" s="53"/>
      <c r="Q34" s="53"/>
      <c r="R34" s="54"/>
      <c r="S34" s="54"/>
      <c r="T34" s="62"/>
      <c r="U34" s="63"/>
      <c r="V34" s="64"/>
      <c r="W34" s="4">
        <f t="shared" si="0"/>
        <v>0</v>
      </c>
      <c r="X34" s="30" t="str">
        <f t="shared" si="2"/>
        <v> </v>
      </c>
      <c r="Y34"/>
    </row>
    <row r="35" spans="2:25" ht="12.75" customHeight="1">
      <c r="B35" s="57">
        <f t="shared" si="1"/>
        <v>22</v>
      </c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2"/>
      <c r="N35" s="52"/>
      <c r="O35" s="50"/>
      <c r="P35" s="53"/>
      <c r="Q35" s="53"/>
      <c r="R35" s="54"/>
      <c r="S35" s="54"/>
      <c r="T35" s="54"/>
      <c r="U35" s="56"/>
      <c r="V35" s="56"/>
      <c r="W35" s="4">
        <f t="shared" si="0"/>
        <v>0</v>
      </c>
      <c r="X35" s="30" t="str">
        <f t="shared" si="2"/>
        <v> </v>
      </c>
      <c r="Y35"/>
    </row>
    <row r="36" spans="2:25" ht="12.75" customHeight="1">
      <c r="B36" s="55">
        <f t="shared" si="1"/>
        <v>23</v>
      </c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1"/>
      <c r="N36" s="51"/>
      <c r="O36" s="50"/>
      <c r="P36" s="53"/>
      <c r="Q36" s="53"/>
      <c r="R36" s="54"/>
      <c r="S36" s="54"/>
      <c r="T36" s="54"/>
      <c r="U36" s="56"/>
      <c r="V36" s="48"/>
      <c r="W36" s="4">
        <f t="shared" si="0"/>
        <v>0</v>
      </c>
      <c r="X36" s="30" t="str">
        <f t="shared" si="2"/>
        <v> </v>
      </c>
      <c r="Y36"/>
    </row>
    <row r="37" spans="2:25" ht="12.75" customHeight="1">
      <c r="B37" s="66">
        <f t="shared" si="1"/>
        <v>24</v>
      </c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1"/>
      <c r="N37" s="51"/>
      <c r="O37" s="50"/>
      <c r="P37" s="53"/>
      <c r="Q37" s="53"/>
      <c r="R37" s="54"/>
      <c r="S37" s="54"/>
      <c r="T37" s="54"/>
      <c r="U37" s="56"/>
      <c r="V37" s="56"/>
      <c r="W37" s="4">
        <f t="shared" si="0"/>
        <v>0</v>
      </c>
      <c r="X37" s="30" t="str">
        <f t="shared" si="2"/>
        <v> </v>
      </c>
      <c r="Y37"/>
    </row>
    <row r="38" spans="2:25" ht="12.75" customHeight="1">
      <c r="B38" s="49">
        <f t="shared" si="1"/>
        <v>25</v>
      </c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1"/>
      <c r="N38" s="51"/>
      <c r="O38" s="50"/>
      <c r="P38" s="53"/>
      <c r="Q38" s="53"/>
      <c r="R38" s="54"/>
      <c r="S38" s="54"/>
      <c r="T38" s="54"/>
      <c r="U38" s="56"/>
      <c r="V38" s="56"/>
      <c r="W38" s="4">
        <f t="shared" si="0"/>
        <v>0</v>
      </c>
      <c r="X38" s="30" t="str">
        <f t="shared" si="2"/>
        <v> </v>
      </c>
      <c r="Y38"/>
    </row>
    <row r="39" spans="2:25" ht="12.75" customHeight="1">
      <c r="B39" s="57">
        <f t="shared" si="1"/>
        <v>26</v>
      </c>
      <c r="C39" s="50">
        <v>92.4022</v>
      </c>
      <c r="D39" s="50">
        <v>4.1528</v>
      </c>
      <c r="E39" s="50">
        <v>0.9723</v>
      </c>
      <c r="F39" s="50">
        <v>0.1287</v>
      </c>
      <c r="G39" s="50">
        <v>0.213</v>
      </c>
      <c r="H39" s="50">
        <v>0.1438</v>
      </c>
      <c r="I39" s="50">
        <v>0.0778</v>
      </c>
      <c r="J39" s="50">
        <v>1.5591</v>
      </c>
      <c r="K39" s="50">
        <v>0.3413</v>
      </c>
      <c r="L39" s="50">
        <v>0.009</v>
      </c>
      <c r="M39" s="52">
        <v>-7.5</v>
      </c>
      <c r="N39" s="52">
        <v>-6.2</v>
      </c>
      <c r="O39" s="50">
        <v>0.7275</v>
      </c>
      <c r="P39" s="53">
        <v>8334.96</v>
      </c>
      <c r="Q39" s="53">
        <v>11876.06</v>
      </c>
      <c r="R39" s="54">
        <v>34.8968</v>
      </c>
      <c r="S39" s="54">
        <v>49.7227</v>
      </c>
      <c r="T39" s="87"/>
      <c r="U39" s="87"/>
      <c r="V39" s="56"/>
      <c r="W39" s="4">
        <f t="shared" si="0"/>
        <v>86.29999999999998</v>
      </c>
      <c r="X39" s="30" t="str">
        <f t="shared" si="2"/>
        <v> </v>
      </c>
      <c r="Y39"/>
    </row>
    <row r="40" spans="2:25" ht="12.75" customHeight="1">
      <c r="B40" s="55">
        <f t="shared" si="1"/>
        <v>27</v>
      </c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1"/>
      <c r="N40" s="51"/>
      <c r="O40" s="50"/>
      <c r="P40" s="53"/>
      <c r="Q40" s="53"/>
      <c r="R40" s="54"/>
      <c r="S40" s="54"/>
      <c r="T40" s="54"/>
      <c r="U40" s="65"/>
      <c r="V40" s="65"/>
      <c r="W40" s="4">
        <f t="shared" si="0"/>
        <v>0</v>
      </c>
      <c r="X40" s="30" t="str">
        <f t="shared" si="2"/>
        <v> </v>
      </c>
      <c r="Y40"/>
    </row>
    <row r="41" spans="2:25" ht="12.75" customHeight="1">
      <c r="B41" s="49">
        <f t="shared" si="1"/>
        <v>28</v>
      </c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1"/>
      <c r="N41" s="51"/>
      <c r="O41" s="50"/>
      <c r="P41" s="53"/>
      <c r="Q41" s="53"/>
      <c r="R41" s="54"/>
      <c r="S41" s="54"/>
      <c r="T41" s="54"/>
      <c r="U41" s="67"/>
      <c r="V41" s="67"/>
      <c r="W41" s="4">
        <f t="shared" si="0"/>
        <v>0</v>
      </c>
      <c r="X41" s="30" t="str">
        <f t="shared" si="2"/>
        <v> </v>
      </c>
      <c r="Y41"/>
    </row>
    <row r="42" spans="2:25" ht="12.75" customHeight="1">
      <c r="B42" s="68">
        <v>29</v>
      </c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1"/>
      <c r="N42" s="51"/>
      <c r="O42" s="50"/>
      <c r="P42" s="53"/>
      <c r="Q42" s="53"/>
      <c r="R42" s="54"/>
      <c r="S42" s="54"/>
      <c r="T42" s="54"/>
      <c r="U42" s="56"/>
      <c r="V42" s="56"/>
      <c r="W42" s="4">
        <f t="shared" si="0"/>
        <v>0</v>
      </c>
      <c r="X42" s="30" t="str">
        <f t="shared" si="2"/>
        <v> </v>
      </c>
      <c r="Y42"/>
    </row>
    <row r="43" spans="2:25" ht="12.75" customHeight="1">
      <c r="B43" s="49">
        <v>30</v>
      </c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1"/>
      <c r="N43" s="51"/>
      <c r="O43" s="50"/>
      <c r="P43" s="53"/>
      <c r="Q43" s="53"/>
      <c r="R43" s="54"/>
      <c r="S43" s="54"/>
      <c r="T43" s="54"/>
      <c r="U43" s="54"/>
      <c r="V43" s="56"/>
      <c r="W43" s="4">
        <f t="shared" si="0"/>
        <v>0</v>
      </c>
      <c r="X43" s="30" t="str">
        <f t="shared" si="2"/>
        <v> </v>
      </c>
      <c r="Y43"/>
    </row>
    <row r="44" spans="2:25" ht="14.25" customHeight="1">
      <c r="B44" s="7">
        <v>31</v>
      </c>
      <c r="C44" s="11"/>
      <c r="D44" s="8"/>
      <c r="E44" s="8"/>
      <c r="F44" s="8"/>
      <c r="G44" s="8"/>
      <c r="H44" s="8"/>
      <c r="I44" s="8"/>
      <c r="J44" s="11"/>
      <c r="K44" s="8"/>
      <c r="L44" s="8"/>
      <c r="M44" s="8"/>
      <c r="N44" s="8"/>
      <c r="O44" s="51"/>
      <c r="P44" s="8"/>
      <c r="Q44" s="8"/>
      <c r="R44" s="54"/>
      <c r="S44" s="54"/>
      <c r="T44" s="9"/>
      <c r="U44" s="10"/>
      <c r="V44" s="10"/>
      <c r="W44" s="4">
        <f>SUM(D44:N44,P44)</f>
        <v>0</v>
      </c>
      <c r="X44" s="5"/>
      <c r="Y44"/>
    </row>
    <row r="45" spans="3:25" ht="12.75"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4"/>
      <c r="X45" s="5"/>
      <c r="Y45"/>
    </row>
    <row r="46" spans="3:4" ht="12.75">
      <c r="C46" s="1"/>
      <c r="D46" s="1"/>
    </row>
    <row r="47" spans="3:22" ht="15">
      <c r="C47" s="12" t="s">
        <v>25</v>
      </c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 t="s">
        <v>74</v>
      </c>
      <c r="Q47" s="12"/>
      <c r="R47" s="12"/>
      <c r="S47" s="12"/>
      <c r="T47" s="69"/>
      <c r="U47" s="70"/>
      <c r="V47" s="70"/>
    </row>
    <row r="48" spans="3:22" ht="12.75">
      <c r="C48" s="1"/>
      <c r="D48" s="1" t="s">
        <v>6</v>
      </c>
      <c r="E48" s="1"/>
      <c r="F48" s="1"/>
      <c r="G48" s="1"/>
      <c r="H48" s="1"/>
      <c r="I48" s="1"/>
      <c r="J48" s="1"/>
      <c r="K48" s="1"/>
      <c r="L48" s="2" t="s">
        <v>0</v>
      </c>
      <c r="M48" s="1"/>
      <c r="N48" s="1"/>
      <c r="O48" s="2"/>
      <c r="P48" s="71" t="s">
        <v>8</v>
      </c>
      <c r="Q48" s="71"/>
      <c r="R48" s="1"/>
      <c r="S48" s="1"/>
      <c r="T48" s="2"/>
      <c r="V48" s="1"/>
    </row>
    <row r="49" spans="3:22" ht="18" customHeight="1">
      <c r="C49" s="12" t="s">
        <v>26</v>
      </c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 t="s">
        <v>1</v>
      </c>
      <c r="P49" s="12" t="s">
        <v>75</v>
      </c>
      <c r="Q49" s="12"/>
      <c r="R49" s="12"/>
      <c r="S49" s="12"/>
      <c r="T49" s="12"/>
      <c r="U49" s="70"/>
      <c r="V49" s="70"/>
    </row>
    <row r="50" spans="3:22" ht="12.75">
      <c r="C50" s="1"/>
      <c r="D50" s="1" t="s">
        <v>7</v>
      </c>
      <c r="E50" s="1"/>
      <c r="F50" s="1"/>
      <c r="G50" s="1"/>
      <c r="H50" s="1"/>
      <c r="I50" s="1"/>
      <c r="J50" s="1"/>
      <c r="K50" s="1"/>
      <c r="L50" s="2" t="s">
        <v>0</v>
      </c>
      <c r="M50" s="1"/>
      <c r="N50" s="1"/>
      <c r="O50" s="2"/>
      <c r="P50" s="2" t="s">
        <v>8</v>
      </c>
      <c r="Q50" s="2"/>
      <c r="R50" s="1"/>
      <c r="S50" s="1"/>
      <c r="T50" s="2"/>
      <c r="V50" s="1"/>
    </row>
    <row r="54" spans="3:10" ht="12.75">
      <c r="C54" s="39"/>
      <c r="D54" s="34" t="s">
        <v>20</v>
      </c>
      <c r="E54" s="34"/>
      <c r="F54" s="34"/>
      <c r="G54" s="34"/>
      <c r="H54" s="34"/>
      <c r="I54" s="34"/>
      <c r="J54" s="34"/>
    </row>
  </sheetData>
  <sheetProtection/>
  <mergeCells count="27">
    <mergeCell ref="A8:X8"/>
    <mergeCell ref="A9:X9"/>
    <mergeCell ref="C45:V45"/>
    <mergeCell ref="A7:U7"/>
    <mergeCell ref="B11:B13"/>
    <mergeCell ref="C11:L11"/>
    <mergeCell ref="M11:M13"/>
    <mergeCell ref="N11:N13"/>
    <mergeCell ref="O11:O12"/>
    <mergeCell ref="P11:P12"/>
    <mergeCell ref="T11:T13"/>
    <mergeCell ref="U11:U13"/>
    <mergeCell ref="V11:V13"/>
    <mergeCell ref="C12:C13"/>
    <mergeCell ref="D12:D13"/>
    <mergeCell ref="E12:E13"/>
    <mergeCell ref="F12:F13"/>
    <mergeCell ref="G12:G13"/>
    <mergeCell ref="H12:H13"/>
    <mergeCell ref="Q11:Q12"/>
    <mergeCell ref="I12:I13"/>
    <mergeCell ref="J12:J13"/>
    <mergeCell ref="K12:K13"/>
    <mergeCell ref="L12:L13"/>
    <mergeCell ref="O13:S13"/>
    <mergeCell ref="S11:S12"/>
    <mergeCell ref="R11:R12"/>
  </mergeCells>
  <printOptions/>
  <pageMargins left="0.5118110236220472" right="0.5118110236220472" top="0.35433070866141736" bottom="0.35433070866141736" header="0.31496062992125984" footer="0.31496062992125984"/>
  <pageSetup fitToHeight="1" fitToWidth="1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2"/>
  <sheetViews>
    <sheetView tabSelected="1" view="pageBreakPreview" zoomScale="82" zoomScaleSheetLayoutView="82" workbookViewId="0" topLeftCell="A1">
      <selection activeCell="N48" sqref="N48"/>
    </sheetView>
  </sheetViews>
  <sheetFormatPr defaultColWidth="9.00390625" defaultRowHeight="12.75"/>
  <cols>
    <col min="1" max="1" width="3.625" style="0" customWidth="1"/>
    <col min="2" max="2" width="11.75390625" style="0" customWidth="1"/>
    <col min="3" max="3" width="8.625" style="0" customWidth="1"/>
    <col min="4" max="4" width="9.375" style="0" customWidth="1"/>
    <col min="5" max="5" width="8.875" style="0" customWidth="1"/>
    <col min="6" max="6" width="7.875" style="0" customWidth="1"/>
    <col min="7" max="7" width="9.625" style="0" customWidth="1"/>
    <col min="8" max="8" width="8.00390625" style="0" customWidth="1"/>
    <col min="9" max="9" width="8.75390625" style="0" customWidth="1"/>
    <col min="10" max="10" width="9.75390625" style="0" customWidth="1"/>
    <col min="11" max="11" width="9.875" style="0" customWidth="1"/>
    <col min="12" max="12" width="8.375" style="0" customWidth="1"/>
    <col min="13" max="14" width="7.875" style="0" customWidth="1"/>
    <col min="15" max="15" width="8.00390625" style="0" customWidth="1"/>
    <col min="16" max="16" width="8.625" style="0" customWidth="1"/>
    <col min="17" max="17" width="8.75390625" style="0" customWidth="1"/>
    <col min="18" max="19" width="8.125" style="0" customWidth="1"/>
    <col min="20" max="20" width="9.625" style="0" customWidth="1"/>
    <col min="21" max="21" width="9.125" style="0" customWidth="1"/>
    <col min="22" max="22" width="9.625" style="0" customWidth="1"/>
    <col min="23" max="23" width="12.375" style="0" customWidth="1"/>
    <col min="24" max="24" width="14.75390625" style="0" customWidth="1"/>
    <col min="25" max="25" width="10.00390625" style="0" customWidth="1"/>
    <col min="26" max="26" width="9.125" style="6" customWidth="1"/>
  </cols>
  <sheetData>
    <row r="1" spans="2:24" ht="12.75">
      <c r="B1" s="72" t="s">
        <v>9</v>
      </c>
      <c r="C1" s="72"/>
      <c r="D1" s="72"/>
      <c r="E1" s="72"/>
      <c r="F1" s="36"/>
      <c r="G1" s="36"/>
      <c r="H1" s="36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</row>
    <row r="2" spans="2:24" ht="12.75">
      <c r="B2" s="72" t="s">
        <v>10</v>
      </c>
      <c r="C2" s="72"/>
      <c r="D2" s="72"/>
      <c r="E2" s="72"/>
      <c r="F2" s="36"/>
      <c r="G2" s="36"/>
      <c r="H2" s="36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</row>
    <row r="3" spans="2:25" ht="12.75">
      <c r="B3" s="73" t="s">
        <v>49</v>
      </c>
      <c r="C3" s="73"/>
      <c r="D3" s="73"/>
      <c r="E3" s="72"/>
      <c r="F3" s="36"/>
      <c r="G3" s="36"/>
      <c r="H3" s="36"/>
      <c r="I3" s="34"/>
      <c r="J3" s="37"/>
      <c r="K3" s="37"/>
      <c r="L3" s="37"/>
      <c r="M3" s="37"/>
      <c r="N3" s="37"/>
      <c r="O3" s="38"/>
      <c r="P3" s="38"/>
      <c r="Q3" s="38"/>
      <c r="R3" s="38"/>
      <c r="S3" s="38"/>
      <c r="T3" s="38"/>
      <c r="U3" s="38"/>
      <c r="V3" s="38"/>
      <c r="W3" s="38"/>
      <c r="X3" s="38"/>
      <c r="Y3" s="3"/>
    </row>
    <row r="4" spans="2:25" ht="12.75">
      <c r="B4" s="36"/>
      <c r="C4" s="36"/>
      <c r="D4" s="36"/>
      <c r="E4" s="36"/>
      <c r="F4" s="36"/>
      <c r="G4" s="36"/>
      <c r="H4" s="36"/>
      <c r="I4" s="34"/>
      <c r="J4" s="37"/>
      <c r="K4" s="37"/>
      <c r="L4" s="37"/>
      <c r="M4" s="37"/>
      <c r="N4" s="37"/>
      <c r="O4" s="38"/>
      <c r="P4" s="38"/>
      <c r="Q4" s="38"/>
      <c r="R4" s="38"/>
      <c r="S4" s="38"/>
      <c r="T4" s="38"/>
      <c r="U4" s="38"/>
      <c r="V4" s="38"/>
      <c r="W4" s="38"/>
      <c r="X4" s="38"/>
      <c r="Y4" s="3"/>
    </row>
    <row r="5" spans="2:25" ht="12.75">
      <c r="B5" s="36"/>
      <c r="C5" s="36"/>
      <c r="D5" s="36"/>
      <c r="E5" s="36"/>
      <c r="F5" s="36"/>
      <c r="G5" s="36"/>
      <c r="H5" s="36"/>
      <c r="I5" s="34"/>
      <c r="J5" s="37"/>
      <c r="K5" s="37"/>
      <c r="L5" s="37"/>
      <c r="M5" s="37"/>
      <c r="N5" s="37"/>
      <c r="O5" s="38"/>
      <c r="P5" s="38"/>
      <c r="Q5" s="38"/>
      <c r="R5" s="38"/>
      <c r="S5" s="38"/>
      <c r="T5" s="38"/>
      <c r="U5" s="38"/>
      <c r="V5" s="38"/>
      <c r="W5" s="38"/>
      <c r="X5" s="38"/>
      <c r="Y5" s="3"/>
    </row>
    <row r="6" spans="2:25" ht="15">
      <c r="B6" s="74"/>
      <c r="C6" s="119" t="s">
        <v>12</v>
      </c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19"/>
      <c r="Y6" s="20"/>
    </row>
    <row r="7" spans="2:25" ht="19.5" customHeight="1">
      <c r="B7" s="110" t="s">
        <v>55</v>
      </c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11"/>
      <c r="W7" s="111"/>
      <c r="X7" s="111"/>
      <c r="Y7" s="21"/>
    </row>
    <row r="8" spans="2:25" ht="19.5" customHeight="1">
      <c r="B8" s="110" t="s">
        <v>56</v>
      </c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  <c r="Y8" s="21"/>
    </row>
    <row r="9" spans="1:26" s="46" customFormat="1" ht="19.5" customHeight="1">
      <c r="A9" s="120" t="s">
        <v>79</v>
      </c>
      <c r="B9" s="120"/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75"/>
      <c r="W9" s="45"/>
      <c r="X9" s="45"/>
      <c r="Z9" s="47"/>
    </row>
    <row r="10" spans="2:25" ht="24" customHeight="1">
      <c r="B10" s="18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22"/>
    </row>
    <row r="11" spans="2:26" ht="30" customHeight="1">
      <c r="B11" s="106" t="s">
        <v>5</v>
      </c>
      <c r="C11" s="121" t="s">
        <v>17</v>
      </c>
      <c r="D11" s="122"/>
      <c r="E11" s="122"/>
      <c r="F11" s="122"/>
      <c r="G11" s="122"/>
      <c r="H11" s="122"/>
      <c r="I11" s="122"/>
      <c r="J11" s="122"/>
      <c r="K11" s="122"/>
      <c r="L11" s="122"/>
      <c r="M11" s="122"/>
      <c r="N11" s="122"/>
      <c r="O11" s="122"/>
      <c r="P11" s="122"/>
      <c r="Q11" s="122"/>
      <c r="R11" s="122"/>
      <c r="S11" s="122"/>
      <c r="T11" s="122"/>
      <c r="U11" s="122"/>
      <c r="V11" s="122"/>
      <c r="W11" s="117" t="s">
        <v>18</v>
      </c>
      <c r="X11" s="123" t="s">
        <v>21</v>
      </c>
      <c r="Y11" s="23"/>
      <c r="Z11"/>
    </row>
    <row r="12" spans="2:26" ht="48.75" customHeight="1">
      <c r="B12" s="107"/>
      <c r="C12" s="109" t="s">
        <v>57</v>
      </c>
      <c r="D12" s="112" t="s">
        <v>58</v>
      </c>
      <c r="E12" s="112" t="s">
        <v>59</v>
      </c>
      <c r="F12" s="112" t="s">
        <v>60</v>
      </c>
      <c r="G12" s="112" t="s">
        <v>61</v>
      </c>
      <c r="H12" s="112" t="s">
        <v>62</v>
      </c>
      <c r="I12" s="112" t="s">
        <v>63</v>
      </c>
      <c r="J12" s="112" t="s">
        <v>64</v>
      </c>
      <c r="K12" s="112" t="s">
        <v>65</v>
      </c>
      <c r="L12" s="112" t="s">
        <v>66</v>
      </c>
      <c r="M12" s="106"/>
      <c r="N12" s="106"/>
      <c r="O12" s="106"/>
      <c r="P12" s="106"/>
      <c r="Q12" s="106"/>
      <c r="R12" s="106"/>
      <c r="S12" s="106"/>
      <c r="T12" s="106"/>
      <c r="U12" s="106"/>
      <c r="V12" s="113"/>
      <c r="W12" s="117"/>
      <c r="X12" s="124"/>
      <c r="Y12" s="23"/>
      <c r="Z12"/>
    </row>
    <row r="13" spans="2:26" ht="15.75" customHeight="1">
      <c r="B13" s="107"/>
      <c r="C13" s="109"/>
      <c r="D13" s="112"/>
      <c r="E13" s="112"/>
      <c r="F13" s="112"/>
      <c r="G13" s="112"/>
      <c r="H13" s="112"/>
      <c r="I13" s="112"/>
      <c r="J13" s="112"/>
      <c r="K13" s="112"/>
      <c r="L13" s="112"/>
      <c r="M13" s="107"/>
      <c r="N13" s="107"/>
      <c r="O13" s="107"/>
      <c r="P13" s="107"/>
      <c r="Q13" s="107"/>
      <c r="R13" s="107"/>
      <c r="S13" s="107"/>
      <c r="T13" s="107"/>
      <c r="U13" s="107"/>
      <c r="V13" s="114"/>
      <c r="W13" s="117"/>
      <c r="X13" s="124"/>
      <c r="Y13" s="23"/>
      <c r="Z13"/>
    </row>
    <row r="14" spans="2:26" ht="30" customHeight="1">
      <c r="B14" s="116"/>
      <c r="C14" s="109"/>
      <c r="D14" s="112"/>
      <c r="E14" s="112"/>
      <c r="F14" s="112"/>
      <c r="G14" s="112"/>
      <c r="H14" s="112"/>
      <c r="I14" s="112"/>
      <c r="J14" s="112"/>
      <c r="K14" s="112"/>
      <c r="L14" s="112"/>
      <c r="M14" s="108"/>
      <c r="N14" s="108"/>
      <c r="O14" s="108"/>
      <c r="P14" s="108"/>
      <c r="Q14" s="108"/>
      <c r="R14" s="108"/>
      <c r="S14" s="108"/>
      <c r="T14" s="108"/>
      <c r="U14" s="108"/>
      <c r="V14" s="115"/>
      <c r="W14" s="117"/>
      <c r="X14" s="125"/>
      <c r="Y14" s="23"/>
      <c r="Z14"/>
    </row>
    <row r="15" spans="2:27" ht="15.75" customHeight="1">
      <c r="B15" s="16">
        <v>1</v>
      </c>
      <c r="C15" s="87">
        <v>1271.42</v>
      </c>
      <c r="D15" s="87">
        <v>2449.75</v>
      </c>
      <c r="E15" s="87">
        <v>1719.43</v>
      </c>
      <c r="F15" s="87">
        <v>150.05</v>
      </c>
      <c r="G15" s="87">
        <v>447.26</v>
      </c>
      <c r="H15" s="87">
        <v>115.57</v>
      </c>
      <c r="I15" s="87">
        <v>324.9</v>
      </c>
      <c r="J15" s="87">
        <v>0</v>
      </c>
      <c r="K15" s="87">
        <v>92879.6</v>
      </c>
      <c r="L15" s="87">
        <v>154.98</v>
      </c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31">
        <f>SUM(C15:V15)</f>
        <v>99512.96</v>
      </c>
      <c r="X15" s="41">
        <v>34.91</v>
      </c>
      <c r="Y15" s="24"/>
      <c r="Z15" s="118" t="s">
        <v>22</v>
      </c>
      <c r="AA15" s="118"/>
    </row>
    <row r="16" spans="2:27" ht="15.75">
      <c r="B16" s="16">
        <v>2</v>
      </c>
      <c r="C16" s="87">
        <v>1281.07</v>
      </c>
      <c r="D16" s="87">
        <v>2056.87</v>
      </c>
      <c r="E16" s="87">
        <v>1705.43</v>
      </c>
      <c r="F16" s="87">
        <v>192.44</v>
      </c>
      <c r="G16" s="87">
        <v>418.03</v>
      </c>
      <c r="H16" s="87">
        <v>119.1</v>
      </c>
      <c r="I16" s="87">
        <v>303.12</v>
      </c>
      <c r="J16" s="87">
        <v>0</v>
      </c>
      <c r="K16" s="87">
        <v>84830.98</v>
      </c>
      <c r="L16" s="87">
        <v>157.42</v>
      </c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31">
        <f aca="true" t="shared" si="0" ref="W16:W44">SUM(C16:V16)</f>
        <v>91064.45999999999</v>
      </c>
      <c r="X16" s="41">
        <f>Додаток!X15</f>
        <v>34.91</v>
      </c>
      <c r="Y16" s="24"/>
      <c r="Z16" s="118"/>
      <c r="AA16" s="118"/>
    </row>
    <row r="17" spans="2:27" ht="15.75">
      <c r="B17" s="16">
        <v>3</v>
      </c>
      <c r="C17" s="87">
        <v>1311.66</v>
      </c>
      <c r="D17" s="87">
        <v>2446.88</v>
      </c>
      <c r="E17" s="87">
        <v>1683.36</v>
      </c>
      <c r="F17" s="87">
        <v>145.55</v>
      </c>
      <c r="G17" s="87">
        <v>446.52</v>
      </c>
      <c r="H17" s="87">
        <v>118.15</v>
      </c>
      <c r="I17" s="87">
        <v>291.99</v>
      </c>
      <c r="J17" s="87">
        <v>0</v>
      </c>
      <c r="K17" s="87">
        <v>87677.93</v>
      </c>
      <c r="L17" s="87">
        <v>151.14</v>
      </c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31">
        <f t="shared" si="0"/>
        <v>94273.18</v>
      </c>
      <c r="X17" s="41">
        <f>Додаток!X15</f>
        <v>34.91</v>
      </c>
      <c r="Y17" s="24"/>
      <c r="Z17" s="118"/>
      <c r="AA17" s="118"/>
    </row>
    <row r="18" spans="2:27" ht="15.75">
      <c r="B18" s="16">
        <v>4</v>
      </c>
      <c r="C18" s="87">
        <v>2068.09</v>
      </c>
      <c r="D18" s="87">
        <v>2578.54</v>
      </c>
      <c r="E18" s="87">
        <v>1631.56</v>
      </c>
      <c r="F18" s="87">
        <v>254.64</v>
      </c>
      <c r="G18" s="87">
        <v>417.76</v>
      </c>
      <c r="H18" s="87">
        <v>112.09</v>
      </c>
      <c r="I18" s="87">
        <v>298.78</v>
      </c>
      <c r="J18" s="87">
        <v>0</v>
      </c>
      <c r="K18" s="87">
        <v>92097.77</v>
      </c>
      <c r="L18" s="87">
        <v>229.44</v>
      </c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31">
        <f t="shared" si="0"/>
        <v>99688.67000000001</v>
      </c>
      <c r="X18" s="41">
        <f>IF(Паспорт!R17&gt;0,Паспорт!R17,Х18)</f>
        <v>34.873</v>
      </c>
      <c r="Y18" s="24"/>
      <c r="Z18" s="118"/>
      <c r="AA18" s="118"/>
    </row>
    <row r="19" spans="2:27" ht="15.75">
      <c r="B19" s="16">
        <v>5</v>
      </c>
      <c r="C19" s="87">
        <v>1167.1</v>
      </c>
      <c r="D19" s="87">
        <v>2639.26</v>
      </c>
      <c r="E19" s="87">
        <v>1760.62</v>
      </c>
      <c r="F19" s="87">
        <v>325.6</v>
      </c>
      <c r="G19" s="87">
        <v>453.54</v>
      </c>
      <c r="H19" s="87">
        <v>115</v>
      </c>
      <c r="I19" s="87">
        <v>324.19</v>
      </c>
      <c r="J19" s="87">
        <v>0</v>
      </c>
      <c r="K19" s="87">
        <v>92225.11</v>
      </c>
      <c r="L19" s="87">
        <v>169.66</v>
      </c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31">
        <f t="shared" si="0"/>
        <v>99180.08</v>
      </c>
      <c r="X19" s="41">
        <f>IF(Паспорт!R17&gt;0,Паспорт!R17,Х18)</f>
        <v>34.873</v>
      </c>
      <c r="Y19" s="24"/>
      <c r="Z19" s="118"/>
      <c r="AA19" s="118"/>
    </row>
    <row r="20" spans="2:27" ht="15.75" customHeight="1">
      <c r="B20" s="16">
        <v>6</v>
      </c>
      <c r="C20" s="87">
        <v>1201.58</v>
      </c>
      <c r="D20" s="87">
        <v>2692.99</v>
      </c>
      <c r="E20" s="87">
        <v>1731.09</v>
      </c>
      <c r="F20" s="87">
        <v>337.43</v>
      </c>
      <c r="G20" s="87">
        <v>455.37</v>
      </c>
      <c r="H20" s="87">
        <v>123.18</v>
      </c>
      <c r="I20" s="87">
        <v>319.05</v>
      </c>
      <c r="J20" s="87">
        <v>0</v>
      </c>
      <c r="K20" s="87">
        <v>95507.97</v>
      </c>
      <c r="L20" s="87">
        <v>155.3</v>
      </c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31">
        <f t="shared" si="0"/>
        <v>102523.96</v>
      </c>
      <c r="X20" s="41">
        <f>IF(Паспорт!R17&gt;0,Паспорт!R17,Х18)</f>
        <v>34.873</v>
      </c>
      <c r="Y20" s="24"/>
      <c r="Z20" s="118"/>
      <c r="AA20" s="118"/>
    </row>
    <row r="21" spans="2:27" ht="15.75">
      <c r="B21" s="16">
        <v>7</v>
      </c>
      <c r="C21" s="87">
        <v>1292.91</v>
      </c>
      <c r="D21" s="87">
        <v>2564.47</v>
      </c>
      <c r="E21" s="87">
        <v>1695.34</v>
      </c>
      <c r="F21" s="87">
        <v>339.14</v>
      </c>
      <c r="G21" s="87">
        <v>444.46</v>
      </c>
      <c r="H21" s="87">
        <v>116.2</v>
      </c>
      <c r="I21" s="87">
        <v>327.51</v>
      </c>
      <c r="J21" s="87">
        <v>0</v>
      </c>
      <c r="K21" s="87">
        <v>96539.27</v>
      </c>
      <c r="L21" s="87">
        <v>165.72</v>
      </c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31">
        <f t="shared" si="0"/>
        <v>103485.02</v>
      </c>
      <c r="X21" s="41">
        <f>IF(Паспорт!R17&gt;0,Паспорт!R17,Х21)</f>
        <v>34.873</v>
      </c>
      <c r="Y21" s="24"/>
      <c r="Z21" s="118"/>
      <c r="AA21" s="118"/>
    </row>
    <row r="22" spans="2:27" ht="15.75">
      <c r="B22" s="16">
        <v>8</v>
      </c>
      <c r="C22" s="87">
        <v>1353.66</v>
      </c>
      <c r="D22" s="87">
        <v>2634.02</v>
      </c>
      <c r="E22" s="87">
        <v>1808.99</v>
      </c>
      <c r="F22" s="87">
        <v>330.71</v>
      </c>
      <c r="G22" s="87">
        <v>505.05</v>
      </c>
      <c r="H22" s="87">
        <v>120.96</v>
      </c>
      <c r="I22" s="87">
        <v>386.44</v>
      </c>
      <c r="J22" s="87">
        <v>0</v>
      </c>
      <c r="K22" s="87">
        <v>90738.63</v>
      </c>
      <c r="L22" s="87">
        <v>181.15</v>
      </c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31">
        <f t="shared" si="0"/>
        <v>98059.61</v>
      </c>
      <c r="X22" s="41">
        <f>IF(Паспорт!R17&gt;0,Паспорт!R17,Х22)</f>
        <v>34.873</v>
      </c>
      <c r="Y22" s="24"/>
      <c r="Z22" s="118"/>
      <c r="AA22" s="118"/>
    </row>
    <row r="23" spans="2:26" ht="15" customHeight="1">
      <c r="B23" s="16">
        <v>9</v>
      </c>
      <c r="C23" s="87">
        <v>1382.38</v>
      </c>
      <c r="D23" s="87">
        <v>2522.25</v>
      </c>
      <c r="E23" s="87">
        <v>1798.92</v>
      </c>
      <c r="F23" s="87">
        <v>371.04</v>
      </c>
      <c r="G23" s="87">
        <v>494.05</v>
      </c>
      <c r="H23" s="87">
        <v>144.69</v>
      </c>
      <c r="I23" s="87">
        <v>361.16</v>
      </c>
      <c r="J23" s="87">
        <v>0</v>
      </c>
      <c r="K23" s="87">
        <v>95453.67</v>
      </c>
      <c r="L23" s="87">
        <v>199.66</v>
      </c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31">
        <f t="shared" si="0"/>
        <v>102727.82</v>
      </c>
      <c r="X23" s="41">
        <f>IF(Паспорт!R17&gt;0,Паспорт!R17,Х23)</f>
        <v>34.873</v>
      </c>
      <c r="Y23" s="24"/>
      <c r="Z23" s="29"/>
    </row>
    <row r="24" spans="2:26" ht="15.75">
      <c r="B24" s="16">
        <v>10</v>
      </c>
      <c r="C24" s="87">
        <v>1393.99</v>
      </c>
      <c r="D24" s="87">
        <v>2843.76</v>
      </c>
      <c r="E24" s="87">
        <v>1820.34</v>
      </c>
      <c r="F24" s="87">
        <v>393.65</v>
      </c>
      <c r="G24" s="87">
        <v>502.56</v>
      </c>
      <c r="H24" s="87">
        <v>134.04</v>
      </c>
      <c r="I24" s="87">
        <v>349.03</v>
      </c>
      <c r="J24" s="87">
        <v>0</v>
      </c>
      <c r="K24" s="87">
        <v>97418.64</v>
      </c>
      <c r="L24" s="87">
        <v>197.03</v>
      </c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31">
        <f t="shared" si="0"/>
        <v>105053.04</v>
      </c>
      <c r="X24" s="41">
        <f>IF(Паспорт!R17&gt;0,Паспорт!R17,Х24)</f>
        <v>34.873</v>
      </c>
      <c r="Y24" s="24"/>
      <c r="Z24" s="29"/>
    </row>
    <row r="25" spans="2:26" ht="15.75">
      <c r="B25" s="16">
        <v>11</v>
      </c>
      <c r="C25" s="87">
        <v>1332.27</v>
      </c>
      <c r="D25" s="87">
        <v>2710.28</v>
      </c>
      <c r="E25" s="87">
        <v>1745.87</v>
      </c>
      <c r="F25" s="87">
        <v>339.56</v>
      </c>
      <c r="G25" s="87">
        <v>478.24</v>
      </c>
      <c r="H25" s="87">
        <v>136.8</v>
      </c>
      <c r="I25" s="87">
        <v>328.1</v>
      </c>
      <c r="J25" s="87">
        <v>0</v>
      </c>
      <c r="K25" s="87">
        <v>97715.66</v>
      </c>
      <c r="L25" s="87">
        <v>178.35</v>
      </c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31">
        <f t="shared" si="0"/>
        <v>104965.13</v>
      </c>
      <c r="X25" s="41">
        <f>IF(Паспорт!R17&gt;0,Паспорт!R17,Х25)</f>
        <v>34.873</v>
      </c>
      <c r="Y25" s="24"/>
      <c r="Z25" s="29"/>
    </row>
    <row r="26" spans="2:26" ht="15.75">
      <c r="B26" s="16">
        <v>12</v>
      </c>
      <c r="C26" s="87">
        <v>1294.55</v>
      </c>
      <c r="D26" s="87">
        <v>2403.05</v>
      </c>
      <c r="E26" s="87">
        <v>1644.5</v>
      </c>
      <c r="F26" s="87">
        <v>335.69</v>
      </c>
      <c r="G26" s="87">
        <v>433.83</v>
      </c>
      <c r="H26" s="87">
        <v>113.77</v>
      </c>
      <c r="I26" s="87">
        <v>315.43</v>
      </c>
      <c r="J26" s="87">
        <v>0</v>
      </c>
      <c r="K26" s="87">
        <v>95333.06</v>
      </c>
      <c r="L26" s="87">
        <v>185.05</v>
      </c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31">
        <f t="shared" si="0"/>
        <v>102058.93000000001</v>
      </c>
      <c r="X26" s="41">
        <f>IF(Паспорт!R25&gt;0,Паспорт!R25,Х12)</f>
        <v>34.94</v>
      </c>
      <c r="Y26" s="24"/>
      <c r="Z26" s="29"/>
    </row>
    <row r="27" spans="2:26" ht="15.75">
      <c r="B27" s="16">
        <v>13</v>
      </c>
      <c r="C27" s="87">
        <v>1273.88</v>
      </c>
      <c r="D27" s="87">
        <v>2465.35</v>
      </c>
      <c r="E27" s="87">
        <v>1661.14</v>
      </c>
      <c r="F27" s="87">
        <v>305.73</v>
      </c>
      <c r="G27" s="87">
        <v>426.7</v>
      </c>
      <c r="H27" s="87">
        <v>109.65</v>
      </c>
      <c r="I27" s="87">
        <v>329.83</v>
      </c>
      <c r="J27" s="87">
        <v>0</v>
      </c>
      <c r="K27" s="87">
        <v>87520.51</v>
      </c>
      <c r="L27" s="87">
        <v>173.88</v>
      </c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31">
        <f t="shared" si="0"/>
        <v>94266.67</v>
      </c>
      <c r="X27" s="41">
        <f>IF(Паспорт!R25&gt;0,Паспорт!R25,Х27)</f>
        <v>34.94</v>
      </c>
      <c r="Y27" s="24"/>
      <c r="Z27" s="29"/>
    </row>
    <row r="28" spans="2:26" ht="15.75">
      <c r="B28" s="16">
        <v>14</v>
      </c>
      <c r="C28" s="87">
        <v>1247.08</v>
      </c>
      <c r="D28" s="87">
        <v>2257.52</v>
      </c>
      <c r="E28" s="87">
        <v>1612.1</v>
      </c>
      <c r="F28" s="87">
        <v>302.59</v>
      </c>
      <c r="G28" s="87">
        <v>429.82</v>
      </c>
      <c r="H28" s="87">
        <v>111.46</v>
      </c>
      <c r="I28" s="87">
        <v>292.93</v>
      </c>
      <c r="J28" s="87">
        <v>0</v>
      </c>
      <c r="K28" s="87">
        <v>87997.66</v>
      </c>
      <c r="L28" s="87">
        <v>183.18</v>
      </c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31">
        <f t="shared" si="0"/>
        <v>94434.34</v>
      </c>
      <c r="X28" s="41">
        <f>IF(Паспорт!R25&gt;0,Паспорт!R25,Х28)</f>
        <v>34.94</v>
      </c>
      <c r="Y28" s="24"/>
      <c r="Z28" s="29"/>
    </row>
    <row r="29" spans="2:26" ht="15.75">
      <c r="B29" s="16">
        <v>15</v>
      </c>
      <c r="C29" s="87">
        <v>1243.4</v>
      </c>
      <c r="D29" s="87">
        <v>2443.44</v>
      </c>
      <c r="E29" s="87">
        <v>1625.86</v>
      </c>
      <c r="F29" s="87">
        <v>306.08</v>
      </c>
      <c r="G29" s="87">
        <v>402.23</v>
      </c>
      <c r="H29" s="87">
        <v>112.64</v>
      </c>
      <c r="I29" s="87">
        <v>295.08</v>
      </c>
      <c r="J29" s="87">
        <v>0</v>
      </c>
      <c r="K29" s="87">
        <v>88390.73</v>
      </c>
      <c r="L29" s="87">
        <v>195.53</v>
      </c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31">
        <f t="shared" si="0"/>
        <v>95014.98999999999</v>
      </c>
      <c r="X29" s="41">
        <f>IF(Паспорт!R25&gt;0,Паспорт!R25,Х29)</f>
        <v>34.94</v>
      </c>
      <c r="Y29" s="24"/>
      <c r="Z29" s="29"/>
    </row>
    <row r="30" spans="2:26" ht="15.75">
      <c r="B30" s="17">
        <v>16</v>
      </c>
      <c r="C30" s="87">
        <v>1254.99</v>
      </c>
      <c r="D30" s="87">
        <v>2120.67</v>
      </c>
      <c r="E30" s="87">
        <v>1616.61</v>
      </c>
      <c r="F30" s="87">
        <v>305.22</v>
      </c>
      <c r="G30" s="87">
        <v>404.59</v>
      </c>
      <c r="H30" s="87">
        <v>118.61</v>
      </c>
      <c r="I30" s="87">
        <v>278.5</v>
      </c>
      <c r="J30" s="87">
        <v>0</v>
      </c>
      <c r="K30" s="87">
        <v>89175.87</v>
      </c>
      <c r="L30" s="87">
        <v>210.78</v>
      </c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31">
        <f t="shared" si="0"/>
        <v>95485.84</v>
      </c>
      <c r="X30" s="41">
        <f>IF(Паспорт!R25&gt;0,Паспорт!R25,Х30)</f>
        <v>34.94</v>
      </c>
      <c r="Y30" s="24"/>
      <c r="Z30" s="29"/>
    </row>
    <row r="31" spans="2:26" ht="15.75">
      <c r="B31" s="17">
        <v>17</v>
      </c>
      <c r="C31" s="87">
        <v>1203.53</v>
      </c>
      <c r="D31" s="87">
        <v>2303.85</v>
      </c>
      <c r="E31" s="87">
        <v>1571.2</v>
      </c>
      <c r="F31" s="87">
        <v>290.76</v>
      </c>
      <c r="G31" s="87">
        <v>382.99</v>
      </c>
      <c r="H31" s="87">
        <v>103.1</v>
      </c>
      <c r="I31" s="87">
        <v>245.48</v>
      </c>
      <c r="J31" s="87">
        <v>0</v>
      </c>
      <c r="K31" s="87">
        <v>76304.7</v>
      </c>
      <c r="L31" s="87">
        <v>200.24</v>
      </c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31">
        <f t="shared" si="0"/>
        <v>82605.85</v>
      </c>
      <c r="X31" s="41">
        <f>IF(Паспорт!R25&gt;0,Паспорт!R25,Х31)</f>
        <v>34.94</v>
      </c>
      <c r="Y31" s="24"/>
      <c r="Z31" s="29"/>
    </row>
    <row r="32" spans="2:26" ht="15.75">
      <c r="B32" s="17">
        <v>18</v>
      </c>
      <c r="C32" s="87">
        <v>1205.96</v>
      </c>
      <c r="D32" s="87">
        <v>2165.35</v>
      </c>
      <c r="E32" s="87">
        <v>1548.61</v>
      </c>
      <c r="F32" s="87">
        <v>274.94</v>
      </c>
      <c r="G32" s="87">
        <v>362.78</v>
      </c>
      <c r="H32" s="87">
        <v>98.79</v>
      </c>
      <c r="I32" s="87">
        <v>245.72</v>
      </c>
      <c r="J32" s="87">
        <v>0</v>
      </c>
      <c r="K32" s="87">
        <v>81246.27</v>
      </c>
      <c r="L32" s="87">
        <v>181.94</v>
      </c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31">
        <f t="shared" si="0"/>
        <v>87330.36</v>
      </c>
      <c r="X32" s="41">
        <f>IF(Паспорт!R25&gt;0,Паспорт!R25,Х32)</f>
        <v>34.94</v>
      </c>
      <c r="Y32" s="24"/>
      <c r="Z32" s="29"/>
    </row>
    <row r="33" spans="2:26" ht="15.75">
      <c r="B33" s="17">
        <v>19</v>
      </c>
      <c r="C33" s="87">
        <v>1282.28</v>
      </c>
      <c r="D33" s="87">
        <v>2783.58</v>
      </c>
      <c r="E33" s="87">
        <v>1628.81</v>
      </c>
      <c r="F33" s="87">
        <v>302.26</v>
      </c>
      <c r="G33" s="87">
        <v>410.34</v>
      </c>
      <c r="H33" s="87">
        <v>112.02</v>
      </c>
      <c r="I33" s="87">
        <v>289.21</v>
      </c>
      <c r="J33" s="87">
        <v>0</v>
      </c>
      <c r="K33" s="87">
        <v>88778.89</v>
      </c>
      <c r="L33" s="87">
        <v>193.62</v>
      </c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31">
        <f t="shared" si="0"/>
        <v>95781.01</v>
      </c>
      <c r="X33" s="41">
        <f>IF(Паспорт!R32&gt;0,Паспорт!R32,Х33)</f>
        <v>34.9814</v>
      </c>
      <c r="Y33" s="24"/>
      <c r="Z33" s="29"/>
    </row>
    <row r="34" spans="2:26" ht="15.75">
      <c r="B34" s="17">
        <v>20</v>
      </c>
      <c r="C34" s="87">
        <v>1298.28</v>
      </c>
      <c r="D34" s="87">
        <v>2497.03</v>
      </c>
      <c r="E34" s="87">
        <v>1705.11</v>
      </c>
      <c r="F34" s="87">
        <v>315.49</v>
      </c>
      <c r="G34" s="87">
        <v>473.57</v>
      </c>
      <c r="H34" s="87">
        <v>115.61</v>
      </c>
      <c r="I34" s="87">
        <v>296.89</v>
      </c>
      <c r="J34" s="87">
        <v>0</v>
      </c>
      <c r="K34" s="87">
        <v>90351.5</v>
      </c>
      <c r="L34" s="87">
        <v>192.62</v>
      </c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31">
        <f t="shared" si="0"/>
        <v>97246.09999999999</v>
      </c>
      <c r="X34" s="41">
        <f>IF(Паспорт!R32&gt;0,Паспорт!R32,Х34)</f>
        <v>34.9814</v>
      </c>
      <c r="Y34" s="24"/>
      <c r="Z34" s="29"/>
    </row>
    <row r="35" spans="2:26" s="85" customFormat="1" ht="15.75">
      <c r="B35" s="79">
        <v>21</v>
      </c>
      <c r="C35" s="87">
        <v>1380.52</v>
      </c>
      <c r="D35" s="87">
        <v>2391.03</v>
      </c>
      <c r="E35" s="87">
        <v>1717.54</v>
      </c>
      <c r="F35" s="87">
        <v>316.69</v>
      </c>
      <c r="G35" s="87">
        <v>585.53</v>
      </c>
      <c r="H35" s="87">
        <v>114.06</v>
      </c>
      <c r="I35" s="87">
        <v>304.54</v>
      </c>
      <c r="J35" s="87">
        <v>0</v>
      </c>
      <c r="K35" s="87">
        <v>100642.71</v>
      </c>
      <c r="L35" s="87">
        <v>205.04</v>
      </c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1">
        <f t="shared" si="0"/>
        <v>107657.66</v>
      </c>
      <c r="X35" s="82">
        <f>IF(Паспорт!R32&gt;0,Паспорт!R32,Х35)</f>
        <v>34.9814</v>
      </c>
      <c r="Y35" s="83"/>
      <c r="Z35" s="84"/>
    </row>
    <row r="36" spans="2:26" ht="15.75">
      <c r="B36" s="17">
        <v>22</v>
      </c>
      <c r="C36" s="87">
        <v>1365.9</v>
      </c>
      <c r="D36" s="87">
        <v>2787.79</v>
      </c>
      <c r="E36" s="87">
        <v>1720.83</v>
      </c>
      <c r="F36" s="87">
        <v>343.06</v>
      </c>
      <c r="G36" s="87">
        <v>584.7</v>
      </c>
      <c r="H36" s="87">
        <v>128.38</v>
      </c>
      <c r="I36" s="87">
        <v>352.04</v>
      </c>
      <c r="J36" s="87">
        <v>0</v>
      </c>
      <c r="K36" s="87">
        <v>92260.5</v>
      </c>
      <c r="L36" s="87">
        <v>217.2</v>
      </c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31">
        <f t="shared" si="0"/>
        <v>99760.4</v>
      </c>
      <c r="X36" s="41">
        <f>IF(Паспорт!R32&gt;0,Паспорт!R32,Х36)</f>
        <v>34.9814</v>
      </c>
      <c r="Y36" s="24"/>
      <c r="Z36" s="29"/>
    </row>
    <row r="37" spans="2:26" ht="15.75">
      <c r="B37" s="17">
        <v>23</v>
      </c>
      <c r="C37" s="87">
        <v>1453.61</v>
      </c>
      <c r="D37" s="87">
        <v>2278.84</v>
      </c>
      <c r="E37" s="87">
        <v>1767.18</v>
      </c>
      <c r="F37" s="87">
        <v>359.45</v>
      </c>
      <c r="G37" s="87">
        <v>646.42</v>
      </c>
      <c r="H37" s="87">
        <v>130.92</v>
      </c>
      <c r="I37" s="87">
        <v>318.33</v>
      </c>
      <c r="J37" s="87">
        <v>0</v>
      </c>
      <c r="K37" s="87">
        <v>98551.26</v>
      </c>
      <c r="L37" s="87">
        <v>213.66</v>
      </c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31">
        <f t="shared" si="0"/>
        <v>105719.67</v>
      </c>
      <c r="X37" s="41">
        <f>IF(Паспорт!R32&gt;0,Паспорт!R32,Х37)</f>
        <v>34.9814</v>
      </c>
      <c r="Y37" s="24"/>
      <c r="Z37" s="29"/>
    </row>
    <row r="38" spans="2:26" ht="15.75">
      <c r="B38" s="17">
        <v>24</v>
      </c>
      <c r="C38" s="87">
        <v>1435.88</v>
      </c>
      <c r="D38" s="87">
        <v>2804.42</v>
      </c>
      <c r="E38" s="87">
        <v>1807.71</v>
      </c>
      <c r="F38" s="87">
        <v>344.17</v>
      </c>
      <c r="G38" s="87">
        <v>635.46</v>
      </c>
      <c r="H38" s="87">
        <v>127.9</v>
      </c>
      <c r="I38" s="87">
        <v>312.66</v>
      </c>
      <c r="J38" s="87">
        <v>0</v>
      </c>
      <c r="K38" s="87">
        <v>91192.99</v>
      </c>
      <c r="L38" s="87">
        <v>218.22</v>
      </c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31">
        <f t="shared" si="0"/>
        <v>98879.41</v>
      </c>
      <c r="X38" s="41">
        <f>IF(Паспорт!R32&gt;0,Паспорт!R32,Х38)</f>
        <v>34.9814</v>
      </c>
      <c r="Y38" s="24"/>
      <c r="Z38" s="29"/>
    </row>
    <row r="39" spans="2:26" ht="15.75">
      <c r="B39" s="17">
        <v>25</v>
      </c>
      <c r="C39" s="87">
        <v>1415.73</v>
      </c>
      <c r="D39" s="87">
        <v>3534.58</v>
      </c>
      <c r="E39" s="87">
        <v>1698.94</v>
      </c>
      <c r="F39" s="87">
        <v>330.6</v>
      </c>
      <c r="G39" s="87">
        <v>589.02</v>
      </c>
      <c r="H39" s="87">
        <v>121.17</v>
      </c>
      <c r="I39" s="87">
        <v>326.38</v>
      </c>
      <c r="J39" s="87">
        <v>0</v>
      </c>
      <c r="K39" s="87">
        <v>97332.96</v>
      </c>
      <c r="L39" s="87">
        <v>205.2</v>
      </c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31">
        <f t="shared" si="0"/>
        <v>105554.58</v>
      </c>
      <c r="X39" s="41">
        <f>IF(Паспорт!R32&gt;0,Паспорт!R32,Х39)</f>
        <v>34.9814</v>
      </c>
      <c r="Y39" s="24"/>
      <c r="Z39" s="29"/>
    </row>
    <row r="40" spans="2:26" ht="15.75">
      <c r="B40" s="17">
        <v>26</v>
      </c>
      <c r="C40" s="87">
        <v>1335.97</v>
      </c>
      <c r="D40" s="87">
        <v>2327.27</v>
      </c>
      <c r="E40" s="87">
        <v>1623.23</v>
      </c>
      <c r="F40" s="87">
        <v>325.29</v>
      </c>
      <c r="G40" s="87">
        <v>587.17</v>
      </c>
      <c r="H40" s="87">
        <v>117.78</v>
      </c>
      <c r="I40" s="87">
        <v>292</v>
      </c>
      <c r="J40" s="87">
        <v>0</v>
      </c>
      <c r="K40" s="87">
        <v>80242.15</v>
      </c>
      <c r="L40" s="87">
        <v>189.54</v>
      </c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31">
        <f t="shared" si="0"/>
        <v>87040.39999999998</v>
      </c>
      <c r="X40" s="41">
        <f>IF(Паспорт!R39&gt;0,Паспорт!R39,Х40)</f>
        <v>34.8968</v>
      </c>
      <c r="Y40" s="24"/>
      <c r="Z40" s="29"/>
    </row>
    <row r="41" spans="2:26" ht="15.75">
      <c r="B41" s="17">
        <v>27</v>
      </c>
      <c r="C41" s="87">
        <v>1352.69</v>
      </c>
      <c r="D41" s="87">
        <v>2429.92</v>
      </c>
      <c r="E41" s="87">
        <v>1642.41</v>
      </c>
      <c r="F41" s="87">
        <v>322.33</v>
      </c>
      <c r="G41" s="87">
        <v>558.05</v>
      </c>
      <c r="H41" s="87">
        <v>115.36</v>
      </c>
      <c r="I41" s="87">
        <v>359.9</v>
      </c>
      <c r="J41" s="87">
        <v>0</v>
      </c>
      <c r="K41" s="87">
        <v>94189.17</v>
      </c>
      <c r="L41" s="87">
        <v>205.32</v>
      </c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31">
        <f t="shared" si="0"/>
        <v>101175.15000000001</v>
      </c>
      <c r="X41" s="41">
        <f>IF(Паспорт!R39&gt;0,Паспорт!R39,Х41)</f>
        <v>34.8968</v>
      </c>
      <c r="Y41" s="24"/>
      <c r="Z41" s="29"/>
    </row>
    <row r="42" spans="2:26" ht="15.75">
      <c r="B42" s="17">
        <v>28</v>
      </c>
      <c r="C42" s="87">
        <v>1323.21</v>
      </c>
      <c r="D42" s="87">
        <v>2286.81</v>
      </c>
      <c r="E42" s="87">
        <v>1645.57</v>
      </c>
      <c r="F42" s="87">
        <v>330.95</v>
      </c>
      <c r="G42" s="87">
        <v>559.65</v>
      </c>
      <c r="H42" s="87">
        <v>114.79</v>
      </c>
      <c r="I42" s="87">
        <v>366.11</v>
      </c>
      <c r="J42" s="87">
        <v>0</v>
      </c>
      <c r="K42" s="87">
        <v>92676.64</v>
      </c>
      <c r="L42" s="87">
        <v>202.77</v>
      </c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31">
        <f t="shared" si="0"/>
        <v>99506.5</v>
      </c>
      <c r="X42" s="41">
        <f>IF(Паспорт!R39&gt;0,Паспорт!R39,Х42)</f>
        <v>34.8968</v>
      </c>
      <c r="Y42" s="24"/>
      <c r="Z42" s="29"/>
    </row>
    <row r="43" spans="2:26" ht="12.75" customHeight="1">
      <c r="B43" s="17">
        <v>29</v>
      </c>
      <c r="C43" s="87">
        <v>1344.38</v>
      </c>
      <c r="D43" s="87">
        <v>2185.1</v>
      </c>
      <c r="E43" s="87">
        <v>1609.41</v>
      </c>
      <c r="F43" s="87">
        <v>342.56</v>
      </c>
      <c r="G43" s="87">
        <v>598.57</v>
      </c>
      <c r="H43" s="87">
        <v>123.31</v>
      </c>
      <c r="I43" s="87">
        <v>357.68</v>
      </c>
      <c r="J43" s="87">
        <v>0</v>
      </c>
      <c r="K43" s="87">
        <v>88331.39</v>
      </c>
      <c r="L43" s="87">
        <v>195.96</v>
      </c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31">
        <f t="shared" si="0"/>
        <v>95088.36</v>
      </c>
      <c r="X43" s="41">
        <f>IF(Паспорт!R39&gt;0,Паспорт!R39,Х43)</f>
        <v>34.8968</v>
      </c>
      <c r="Y43" s="24"/>
      <c r="Z43" s="29"/>
    </row>
    <row r="44" spans="2:26" ht="12.75" customHeight="1">
      <c r="B44" s="17">
        <v>30</v>
      </c>
      <c r="C44" s="87">
        <v>1319.88</v>
      </c>
      <c r="D44" s="87">
        <v>2391.1</v>
      </c>
      <c r="E44" s="87">
        <v>1670.98</v>
      </c>
      <c r="F44" s="87">
        <v>383.94</v>
      </c>
      <c r="G44" s="87">
        <v>575.39</v>
      </c>
      <c r="H44" s="87">
        <v>141.26</v>
      </c>
      <c r="I44" s="87">
        <v>376.81</v>
      </c>
      <c r="J44" s="87">
        <v>0</v>
      </c>
      <c r="K44" s="87">
        <v>90673.69</v>
      </c>
      <c r="L44" s="87">
        <v>216.89</v>
      </c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31">
        <f t="shared" si="0"/>
        <v>97749.94</v>
      </c>
      <c r="X44" s="41">
        <f>IF(Паспорт!R39&gt;0,Паспорт!R39,Х44)</f>
        <v>34.8968</v>
      </c>
      <c r="Y44" s="24"/>
      <c r="Z44" s="29"/>
    </row>
    <row r="45" spans="2:26" ht="12.75" customHeight="1">
      <c r="B45" s="17">
        <v>31</v>
      </c>
      <c r="C45" s="87">
        <v>1310.23</v>
      </c>
      <c r="D45" s="87">
        <v>2576.68</v>
      </c>
      <c r="E45" s="87">
        <v>1627.64</v>
      </c>
      <c r="F45" s="87">
        <v>369.6</v>
      </c>
      <c r="G45" s="87">
        <v>584.57</v>
      </c>
      <c r="H45" s="87">
        <v>130.04</v>
      </c>
      <c r="I45" s="87">
        <v>364.51</v>
      </c>
      <c r="J45" s="87">
        <v>0</v>
      </c>
      <c r="K45" s="87">
        <v>87405.86</v>
      </c>
      <c r="L45" s="87">
        <v>203.67</v>
      </c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31">
        <f>SUM(C45:V45)</f>
        <v>94572.8</v>
      </c>
      <c r="X45" s="41">
        <f>IF(Паспорт!R39&gt;0,Паспорт!R39,Х45)</f>
        <v>34.8968</v>
      </c>
      <c r="Y45" s="24"/>
      <c r="Z45" s="29"/>
    </row>
    <row r="46" spans="2:27" ht="66" customHeight="1">
      <c r="B46" s="17" t="s">
        <v>18</v>
      </c>
      <c r="C46" s="32">
        <f>SUM(C15:C45)</f>
        <v>41398.08</v>
      </c>
      <c r="D46" s="32">
        <f aca="true" t="shared" si="1" ref="D46:W46">SUM(D15:D45)</f>
        <v>77572.45</v>
      </c>
      <c r="E46" s="32">
        <f t="shared" si="1"/>
        <v>52246.330000000016</v>
      </c>
      <c r="F46" s="32">
        <f t="shared" si="1"/>
        <v>9687.210000000003</v>
      </c>
      <c r="G46" s="32">
        <f t="shared" si="1"/>
        <v>15294.219999999998</v>
      </c>
      <c r="H46" s="32">
        <f t="shared" si="1"/>
        <v>3716.4000000000005</v>
      </c>
      <c r="I46" s="32">
        <f t="shared" si="1"/>
        <v>9934.300000000001</v>
      </c>
      <c r="J46" s="32">
        <f t="shared" si="1"/>
        <v>0</v>
      </c>
      <c r="K46" s="32">
        <f t="shared" si="1"/>
        <v>2821683.7399999998</v>
      </c>
      <c r="L46" s="32">
        <f t="shared" si="1"/>
        <v>5930.160000000001</v>
      </c>
      <c r="M46" s="32">
        <f t="shared" si="1"/>
        <v>0</v>
      </c>
      <c r="N46" s="32">
        <f t="shared" si="1"/>
        <v>0</v>
      </c>
      <c r="O46" s="32">
        <f t="shared" si="1"/>
        <v>0</v>
      </c>
      <c r="P46" s="32">
        <f t="shared" si="1"/>
        <v>0</v>
      </c>
      <c r="Q46" s="32">
        <f t="shared" si="1"/>
        <v>0</v>
      </c>
      <c r="R46" s="32">
        <f t="shared" si="1"/>
        <v>0</v>
      </c>
      <c r="S46" s="32">
        <f t="shared" si="1"/>
        <v>0</v>
      </c>
      <c r="T46" s="32">
        <f t="shared" si="1"/>
        <v>0</v>
      </c>
      <c r="U46" s="32">
        <f t="shared" si="1"/>
        <v>0</v>
      </c>
      <c r="V46" s="32">
        <f t="shared" si="1"/>
        <v>0</v>
      </c>
      <c r="W46" s="32">
        <f t="shared" si="1"/>
        <v>3037462.89</v>
      </c>
      <c r="X46" s="86">
        <f>SUMPRODUCT(X15:X44,W15:W44)/SUM(W15:W44)</f>
        <v>34.9214679736585</v>
      </c>
      <c r="Y46" s="28"/>
      <c r="Z46" s="126" t="s">
        <v>19</v>
      </c>
      <c r="AA46" s="126"/>
    </row>
    <row r="47" spans="3:26" ht="12.75"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25"/>
      <c r="Z47"/>
    </row>
    <row r="48" spans="3:4" ht="12.75">
      <c r="C48" s="1"/>
      <c r="D48" s="1"/>
    </row>
    <row r="49" spans="2:25" ht="15">
      <c r="B49" s="33"/>
      <c r="C49" s="12" t="s">
        <v>76</v>
      </c>
      <c r="D49" s="12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 t="s">
        <v>77</v>
      </c>
      <c r="X49" s="35"/>
      <c r="Y49" s="26"/>
    </row>
    <row r="50" spans="3:25" ht="12.75">
      <c r="C50" s="1"/>
      <c r="D50" s="1" t="s">
        <v>15</v>
      </c>
      <c r="O50" s="2"/>
      <c r="P50" s="15" t="s">
        <v>50</v>
      </c>
      <c r="Q50" s="15"/>
      <c r="W50" s="14" t="s">
        <v>51</v>
      </c>
      <c r="Y50" s="2"/>
    </row>
    <row r="51" spans="3:25" ht="18" customHeight="1">
      <c r="C51" s="12" t="s">
        <v>13</v>
      </c>
      <c r="D51" s="12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 t="s">
        <v>1</v>
      </c>
      <c r="P51" s="13" t="s">
        <v>14</v>
      </c>
      <c r="Q51" s="13"/>
      <c r="R51" s="13"/>
      <c r="S51" s="13"/>
      <c r="T51" s="13"/>
      <c r="U51" s="13"/>
      <c r="V51" s="13"/>
      <c r="W51" s="13" t="s">
        <v>52</v>
      </c>
      <c r="X51" s="13"/>
      <c r="Y51" s="27"/>
    </row>
    <row r="52" spans="3:25" ht="12.75">
      <c r="C52" s="1"/>
      <c r="D52" s="1" t="s">
        <v>16</v>
      </c>
      <c r="O52" s="2"/>
      <c r="P52" s="14" t="s">
        <v>53</v>
      </c>
      <c r="Q52" s="14"/>
      <c r="W52" s="14" t="s">
        <v>51</v>
      </c>
      <c r="Y52" s="2"/>
    </row>
  </sheetData>
  <sheetProtection/>
  <mergeCells count="31">
    <mergeCell ref="Z46:AA46"/>
    <mergeCell ref="E12:E14"/>
    <mergeCell ref="F12:F14"/>
    <mergeCell ref="G12:G14"/>
    <mergeCell ref="H12:H14"/>
    <mergeCell ref="C6:X6"/>
    <mergeCell ref="A9:U9"/>
    <mergeCell ref="C11:V11"/>
    <mergeCell ref="B8:X8"/>
    <mergeCell ref="X11:X14"/>
    <mergeCell ref="C47:X47"/>
    <mergeCell ref="J12:J14"/>
    <mergeCell ref="K12:K14"/>
    <mergeCell ref="L12:L14"/>
    <mergeCell ref="M12:M14"/>
    <mergeCell ref="W11:W14"/>
    <mergeCell ref="O12:O14"/>
    <mergeCell ref="T12:T14"/>
    <mergeCell ref="Q12:Q14"/>
    <mergeCell ref="Z15:AA22"/>
    <mergeCell ref="P12:P14"/>
    <mergeCell ref="S12:S14"/>
    <mergeCell ref="C12:C14"/>
    <mergeCell ref="B7:X7"/>
    <mergeCell ref="N12:N14"/>
    <mergeCell ref="D12:D14"/>
    <mergeCell ref="V12:V14"/>
    <mergeCell ref="I12:I14"/>
    <mergeCell ref="R12:R14"/>
    <mergeCell ref="B11:B14"/>
    <mergeCell ref="U12:U14"/>
  </mergeCells>
  <printOptions/>
  <pageMargins left="0.5118110236220472" right="0.5118110236220472" top="0.35433070866141736" bottom="0.35433070866141736" header="0.31496062992125984" footer="0.31496062992125984"/>
  <pageSetup fitToHeight="1" fitToWidth="1" horizontalDpi="600" verticalDpi="600" orientation="landscape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4"/>
  <sheetViews>
    <sheetView zoomScale="80" zoomScaleNormal="80" zoomScalePageLayoutView="0" workbookViewId="0" topLeftCell="A1">
      <selection activeCell="B3" sqref="B3:B33"/>
    </sheetView>
  </sheetViews>
  <sheetFormatPr defaultColWidth="9.00390625" defaultRowHeight="12.75"/>
  <sheetData>
    <row r="1" ht="12.75">
      <c r="A1" t="s">
        <v>80</v>
      </c>
    </row>
    <row r="2" spans="1:6" ht="12.75">
      <c r="A2" t="s">
        <v>67</v>
      </c>
      <c r="B2" t="s">
        <v>68</v>
      </c>
      <c r="C2" t="s">
        <v>69</v>
      </c>
      <c r="D2" t="s">
        <v>70</v>
      </c>
      <c r="E2" t="s">
        <v>71</v>
      </c>
      <c r="F2" t="s">
        <v>72</v>
      </c>
    </row>
    <row r="3" spans="1:5" ht="12.75">
      <c r="A3">
        <v>1</v>
      </c>
      <c r="B3">
        <v>154.98</v>
      </c>
      <c r="C3">
        <v>10.794</v>
      </c>
      <c r="D3">
        <v>2.52</v>
      </c>
      <c r="E3">
        <v>29.09</v>
      </c>
    </row>
    <row r="4" spans="1:5" ht="12.75">
      <c r="A4">
        <v>2</v>
      </c>
      <c r="B4">
        <v>157.42</v>
      </c>
      <c r="C4">
        <v>11.083</v>
      </c>
      <c r="D4">
        <v>2.51</v>
      </c>
      <c r="E4">
        <v>29.33</v>
      </c>
    </row>
    <row r="5" spans="1:5" ht="12.75">
      <c r="A5">
        <v>3</v>
      </c>
      <c r="B5">
        <v>151.14</v>
      </c>
      <c r="C5">
        <v>10.255</v>
      </c>
      <c r="D5">
        <v>2.51</v>
      </c>
      <c r="E5">
        <v>29.5</v>
      </c>
    </row>
    <row r="6" spans="1:5" ht="12.75">
      <c r="A6">
        <v>4</v>
      </c>
      <c r="B6">
        <v>229.44</v>
      </c>
      <c r="C6">
        <v>29.684</v>
      </c>
      <c r="D6">
        <v>3.63</v>
      </c>
      <c r="E6">
        <v>30.17</v>
      </c>
    </row>
    <row r="7" spans="1:5" ht="12.75">
      <c r="A7">
        <v>5</v>
      </c>
      <c r="B7">
        <v>169.66</v>
      </c>
      <c r="C7">
        <v>11.377</v>
      </c>
      <c r="D7">
        <v>3.33</v>
      </c>
      <c r="E7">
        <v>28.8</v>
      </c>
    </row>
    <row r="8" spans="1:5" ht="12.75">
      <c r="A8">
        <v>6</v>
      </c>
      <c r="B8">
        <v>155.3</v>
      </c>
      <c r="C8">
        <v>11.192</v>
      </c>
      <c r="D8">
        <v>2.6</v>
      </c>
      <c r="E8">
        <v>28.16</v>
      </c>
    </row>
    <row r="9" spans="1:5" ht="12.75">
      <c r="A9">
        <v>7</v>
      </c>
      <c r="B9">
        <v>165.72</v>
      </c>
      <c r="C9">
        <v>12.131</v>
      </c>
      <c r="D9">
        <v>2.54</v>
      </c>
      <c r="E9">
        <v>28.22</v>
      </c>
    </row>
    <row r="10" spans="1:5" ht="12.75">
      <c r="A10">
        <v>8</v>
      </c>
      <c r="B10">
        <v>181.15</v>
      </c>
      <c r="C10">
        <v>14.513</v>
      </c>
      <c r="D10">
        <v>2.52</v>
      </c>
      <c r="E10">
        <v>27.86</v>
      </c>
    </row>
    <row r="11" spans="1:5" ht="12.75">
      <c r="A11">
        <v>9</v>
      </c>
      <c r="B11">
        <v>199.66</v>
      </c>
      <c r="C11">
        <v>18.227</v>
      </c>
      <c r="D11">
        <v>2.52</v>
      </c>
      <c r="E11">
        <v>27.18</v>
      </c>
    </row>
    <row r="12" spans="1:5" ht="12.75">
      <c r="A12">
        <v>10</v>
      </c>
      <c r="B12">
        <v>197.03</v>
      </c>
      <c r="C12">
        <v>17.187</v>
      </c>
      <c r="D12">
        <v>2.52</v>
      </c>
      <c r="E12">
        <v>26.31</v>
      </c>
    </row>
    <row r="13" spans="1:5" ht="12.75">
      <c r="A13">
        <v>11</v>
      </c>
      <c r="B13">
        <v>178.35</v>
      </c>
      <c r="C13">
        <v>14.373</v>
      </c>
      <c r="D13">
        <v>2.52</v>
      </c>
      <c r="E13">
        <v>26.61</v>
      </c>
    </row>
    <row r="14" spans="1:5" ht="12.75">
      <c r="A14">
        <v>12</v>
      </c>
      <c r="B14">
        <v>185.05</v>
      </c>
      <c r="C14">
        <v>15.208</v>
      </c>
      <c r="D14">
        <v>2.52</v>
      </c>
      <c r="E14">
        <v>27.63</v>
      </c>
    </row>
    <row r="15" spans="1:5" ht="12.75">
      <c r="A15">
        <v>13</v>
      </c>
      <c r="B15">
        <v>173.88</v>
      </c>
      <c r="C15">
        <v>13.409</v>
      </c>
      <c r="D15">
        <v>2.53</v>
      </c>
      <c r="E15">
        <v>28.66</v>
      </c>
    </row>
    <row r="16" spans="1:5" ht="12.75">
      <c r="A16">
        <v>14</v>
      </c>
      <c r="B16">
        <v>183.18</v>
      </c>
      <c r="C16">
        <v>14.898</v>
      </c>
      <c r="D16">
        <v>2.52</v>
      </c>
      <c r="E16">
        <v>30.12</v>
      </c>
    </row>
    <row r="17" spans="1:5" ht="12.75">
      <c r="A17">
        <v>15</v>
      </c>
      <c r="B17">
        <v>195.53</v>
      </c>
      <c r="C17">
        <v>16.805</v>
      </c>
      <c r="D17">
        <v>2.52</v>
      </c>
      <c r="E17">
        <v>30.98</v>
      </c>
    </row>
    <row r="18" spans="1:5" ht="12.75">
      <c r="A18">
        <v>16</v>
      </c>
      <c r="B18">
        <v>210.78</v>
      </c>
      <c r="C18">
        <v>20.04</v>
      </c>
      <c r="D18">
        <v>2.51</v>
      </c>
      <c r="E18">
        <v>31.69</v>
      </c>
    </row>
    <row r="19" spans="1:5" ht="12.75">
      <c r="A19">
        <v>17</v>
      </c>
      <c r="B19">
        <v>200.24</v>
      </c>
      <c r="C19">
        <v>18.971</v>
      </c>
      <c r="D19">
        <v>2.5</v>
      </c>
      <c r="E19">
        <v>32.78</v>
      </c>
    </row>
    <row r="20" spans="1:5" ht="12.75">
      <c r="A20">
        <v>18</v>
      </c>
      <c r="B20">
        <v>181.94</v>
      </c>
      <c r="C20">
        <v>15.364</v>
      </c>
      <c r="D20">
        <v>2.51</v>
      </c>
      <c r="E20">
        <v>32.94</v>
      </c>
    </row>
    <row r="21" spans="1:5" ht="12.75">
      <c r="A21">
        <v>19</v>
      </c>
      <c r="B21">
        <v>193.62</v>
      </c>
      <c r="C21">
        <v>17.431</v>
      </c>
      <c r="D21">
        <v>2.49</v>
      </c>
      <c r="E21">
        <v>30.71</v>
      </c>
    </row>
    <row r="22" spans="1:5" ht="12.75">
      <c r="A22">
        <v>20</v>
      </c>
      <c r="B22">
        <v>192.62</v>
      </c>
      <c r="C22">
        <v>17.736</v>
      </c>
      <c r="D22">
        <v>2.46</v>
      </c>
      <c r="E22">
        <v>29.13</v>
      </c>
    </row>
    <row r="23" spans="1:5" ht="12.75">
      <c r="A23">
        <v>21</v>
      </c>
      <c r="B23">
        <v>205.04</v>
      </c>
      <c r="C23">
        <v>19.516</v>
      </c>
      <c r="D23">
        <v>2.52</v>
      </c>
      <c r="E23">
        <v>27.97</v>
      </c>
    </row>
    <row r="24" spans="1:5" ht="12.75">
      <c r="A24">
        <v>22</v>
      </c>
      <c r="B24">
        <v>217.2</v>
      </c>
      <c r="C24">
        <v>20.836</v>
      </c>
      <c r="D24">
        <v>2.52</v>
      </c>
      <c r="E24">
        <v>27.05</v>
      </c>
    </row>
    <row r="25" spans="1:5" ht="12.75">
      <c r="A25">
        <v>23</v>
      </c>
      <c r="B25">
        <v>213.66</v>
      </c>
      <c r="C25">
        <v>20.48</v>
      </c>
      <c r="D25">
        <v>2.5</v>
      </c>
      <c r="E25">
        <v>27.03</v>
      </c>
    </row>
    <row r="26" spans="1:5" ht="12.75">
      <c r="A26">
        <v>24</v>
      </c>
      <c r="B26">
        <v>218.22</v>
      </c>
      <c r="C26">
        <v>21.857</v>
      </c>
      <c r="D26">
        <v>2.51</v>
      </c>
      <c r="E26">
        <v>27.28</v>
      </c>
    </row>
    <row r="27" spans="1:5" ht="12.75">
      <c r="A27">
        <v>25</v>
      </c>
      <c r="B27">
        <v>205.2</v>
      </c>
      <c r="C27">
        <v>19.103</v>
      </c>
      <c r="D27">
        <v>2.5</v>
      </c>
      <c r="E27">
        <v>27.07</v>
      </c>
    </row>
    <row r="28" spans="1:5" ht="12.75">
      <c r="A28">
        <v>26</v>
      </c>
      <c r="B28">
        <v>189.54</v>
      </c>
      <c r="C28">
        <v>16.861</v>
      </c>
      <c r="D28">
        <v>2.49</v>
      </c>
      <c r="E28">
        <v>27.64</v>
      </c>
    </row>
    <row r="29" spans="1:5" ht="12.75">
      <c r="A29">
        <v>27</v>
      </c>
      <c r="B29">
        <v>205.32</v>
      </c>
      <c r="C29">
        <v>19.232</v>
      </c>
      <c r="D29">
        <v>2.5</v>
      </c>
      <c r="E29">
        <v>28.43</v>
      </c>
    </row>
    <row r="30" spans="1:5" ht="12.75">
      <c r="A30">
        <v>28</v>
      </c>
      <c r="B30">
        <v>202.77</v>
      </c>
      <c r="C30">
        <v>18.593</v>
      </c>
      <c r="D30">
        <v>2.5</v>
      </c>
      <c r="E30">
        <v>29.01</v>
      </c>
    </row>
    <row r="31" spans="1:5" ht="12.75">
      <c r="A31">
        <v>29</v>
      </c>
      <c r="B31">
        <v>195.96</v>
      </c>
      <c r="C31">
        <v>17.947</v>
      </c>
      <c r="D31">
        <v>2.5</v>
      </c>
      <c r="E31">
        <v>29.69</v>
      </c>
    </row>
    <row r="32" spans="1:5" ht="12.75">
      <c r="A32">
        <v>30</v>
      </c>
      <c r="B32">
        <v>216.89</v>
      </c>
      <c r="C32">
        <v>21.807</v>
      </c>
      <c r="D32">
        <v>2.49</v>
      </c>
      <c r="E32">
        <v>29.83</v>
      </c>
    </row>
    <row r="33" spans="1:5" ht="12.75">
      <c r="A33">
        <v>31</v>
      </c>
      <c r="B33">
        <v>203.67</v>
      </c>
      <c r="C33">
        <v>19.509</v>
      </c>
      <c r="D33">
        <v>2.49</v>
      </c>
      <c r="E33">
        <v>29.81</v>
      </c>
    </row>
    <row r="34" spans="1:5" ht="12.75">
      <c r="A34" t="s">
        <v>73</v>
      </c>
      <c r="B34">
        <v>5930.17</v>
      </c>
      <c r="C34">
        <v>10.794</v>
      </c>
      <c r="D34">
        <v>2.52</v>
      </c>
      <c r="E34">
        <v>29.09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User</cp:lastModifiedBy>
  <cp:lastPrinted>2016-05-04T12:06:50Z</cp:lastPrinted>
  <dcterms:created xsi:type="dcterms:W3CDTF">2010-01-29T08:37:16Z</dcterms:created>
  <dcterms:modified xsi:type="dcterms:W3CDTF">2016-08-05T11:55:22Z</dcterms:modified>
  <cp:category/>
  <cp:version/>
  <cp:contentType/>
  <cp:contentStatus/>
</cp:coreProperties>
</file>