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320" windowHeight="11760"/>
  </bookViews>
  <sheets>
    <sheet name="Лист1" sheetId="1" r:id="rId1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0" i="1" l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3" i="1"/>
  <c r="AE33" i="1"/>
  <c r="AD34" i="1"/>
  <c r="AE34" i="1"/>
  <c r="AD35" i="1"/>
  <c r="AE35" i="1"/>
  <c r="AD36" i="1"/>
  <c r="AE36" i="1"/>
  <c r="AD37" i="1"/>
  <c r="AE37" i="1"/>
  <c r="AD38" i="1"/>
  <c r="AE38" i="1"/>
  <c r="AD39" i="1"/>
  <c r="AE39" i="1"/>
  <c r="AD40" i="1"/>
  <c r="AE40" i="1"/>
  <c r="O42" i="1" l="1"/>
  <c r="Q36" i="1" l="1"/>
  <c r="T34" i="1"/>
  <c r="W40" i="1" l="1"/>
  <c r="W39" i="1"/>
  <c r="W38" i="1"/>
  <c r="W37" i="1"/>
  <c r="W36" i="1"/>
  <c r="W34" i="1"/>
  <c r="W35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T40" i="1"/>
  <c r="T39" i="1"/>
  <c r="T38" i="1"/>
  <c r="T37" i="1"/>
  <c r="T36" i="1"/>
  <c r="T35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Q40" i="1"/>
  <c r="Q39" i="1"/>
  <c r="Q38" i="1"/>
  <c r="Q37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T42" i="1" l="1"/>
  <c r="S42" i="1"/>
  <c r="R42" i="1"/>
  <c r="P42" i="1"/>
  <c r="AD41" i="1"/>
  <c r="AE41" i="1" s="1"/>
  <c r="Q12" i="1"/>
  <c r="Q11" i="1"/>
  <c r="Q42" i="1" l="1"/>
</calcChain>
</file>

<file path=xl/sharedStrings.xml><?xml version="1.0" encoding="utf-8"?>
<sst xmlns="http://schemas.openxmlformats.org/spreadsheetml/2006/main" count="70" uniqueCount="61">
  <si>
    <t>ПАТ "УКРТРАНСГАЗ"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</si>
  <si>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</si>
  <si>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</si>
  <si>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</si>
  <si>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</si>
  <si>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</si>
  <si>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</si>
  <si>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</si>
  <si>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</si>
  <si>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</si>
  <si>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</si>
  <si>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</si>
  <si>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</si>
  <si>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</si>
  <si>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</si>
  <si>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</si>
  <si>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</si>
  <si>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</si>
  <si>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</si>
  <si>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</si>
  <si>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</si>
  <si>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</si>
  <si>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</si>
  <si>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</si>
  <si>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</si>
  <si>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</si>
  <si>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</si>
  <si>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</si>
  <si>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</si>
  <si>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</si>
  <si>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</si>
  <si>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</si>
  <si>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</si>
  <si>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</si>
  <si>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</si>
  <si>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</si>
  <si>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</si>
  <si>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</si>
  <si>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</si>
  <si>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</si>
  <si>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</si>
  <si>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</si>
  <si>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</si>
  <si>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</si>
  <si>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Метрологічна служба, яка вимірює обсяги газу</t>
  </si>
  <si>
    <t>Філія "УМГ "ПРИКАРПАТТРАНСГАЗ"</t>
  </si>
  <si>
    <t>Березівський п/м  Одеського ЛВУМГ</t>
  </si>
  <si>
    <r>
      <t xml:space="preserve">Свідоцтво </t>
    </r>
    <r>
      <rPr>
        <b/>
        <sz val="8"/>
        <rFont val="Arial"/>
        <family val="2"/>
        <charset val="204"/>
      </rPr>
      <t>№ РО-159/2014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>17.09.2017р.</t>
    </r>
  </si>
  <si>
    <r>
      <t xml:space="preserve">за період з  </t>
    </r>
    <r>
      <rPr>
        <b/>
        <u/>
        <sz val="11"/>
        <color theme="1"/>
        <rFont val="Times New Roman"/>
        <family val="1"/>
        <charset val="204"/>
      </rPr>
      <t>01.11.2016 р.</t>
    </r>
    <r>
      <rPr>
        <sz val="11"/>
        <color theme="1"/>
        <rFont val="Times New Roman"/>
        <family val="1"/>
        <charset val="204"/>
      </rPr>
      <t xml:space="preserve"> по  </t>
    </r>
    <r>
      <rPr>
        <b/>
        <u/>
        <sz val="11"/>
        <color theme="1"/>
        <rFont val="Times New Roman"/>
        <family val="1"/>
        <charset val="204"/>
      </rPr>
      <t>30.11.2016 р.</t>
    </r>
  </si>
  <si>
    <t>Візірка(ОПЗ),Візірка(Южне),Войкове,Гребеники,Одеса ГРС-1,Одеса ГРС-2,Одеса ГРС-3,Гуляївка,Дачне,Дружба,Єреміївка,Іллінка,Іллічівськ,</t>
  </si>
  <si>
    <t>відсутн</t>
  </si>
  <si>
    <r>
      <rPr>
        <sz val="11"/>
        <color theme="1"/>
        <rFont val="Calibri"/>
        <family val="2"/>
        <charset val="204"/>
      </rPr>
      <t>&lt;</t>
    </r>
    <r>
      <rPr>
        <sz val="11"/>
        <color theme="1"/>
        <rFont val="Times New Roman"/>
        <family val="1"/>
        <charset val="204"/>
      </rPr>
      <t>0,1</t>
    </r>
  </si>
  <si>
    <r>
      <rPr>
        <sz val="11"/>
        <color theme="1"/>
        <rFont val="Calibri"/>
        <family val="2"/>
        <charset val="204"/>
      </rPr>
      <t>&lt;</t>
    </r>
    <r>
      <rPr>
        <sz val="11"/>
        <color theme="1"/>
        <rFont val="Times New Roman"/>
        <family val="1"/>
        <charset val="204"/>
      </rPr>
      <t>0,2</t>
    </r>
  </si>
  <si>
    <t>Кірове,Комінтернівське,Кошари,Лиманське,Марково,Надлиманське,Новоградівка,Шустов,Овідіополь,Роздільна,Ряснополь,Червонознамянка,</t>
  </si>
  <si>
    <r>
      <rPr>
        <u/>
        <sz val="10"/>
        <color theme="1"/>
        <rFont val="Times New Roman"/>
        <family val="1"/>
        <charset val="204"/>
      </rPr>
      <t>Теплодар,Щербанка</t>
    </r>
    <r>
      <rPr>
        <u/>
        <sz val="11"/>
        <color theme="1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 xml:space="preserve">  Маршрут № 499       газопроводу</t>
    </r>
    <r>
      <rPr>
        <b/>
        <u/>
        <sz val="11"/>
        <color theme="1"/>
        <rFont val="Times New Roman"/>
        <family val="1"/>
        <charset val="204"/>
      </rPr>
      <t xml:space="preserve"> ШДКРІ</t>
    </r>
  </si>
  <si>
    <r>
      <rPr>
        <b/>
        <sz val="11"/>
        <color theme="1"/>
        <rFont val="Times New Roman"/>
        <family val="1"/>
        <charset val="204"/>
      </rPr>
      <t>ПАСПОРТ ФІЗИКО-ХІМІЧНИХ ПОКАЗНИКІВ ПРИРОДНОГО ГАЗУ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</si>
  <si>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>ОдеськимЛВУМГ</t>
    </r>
    <r>
      <rPr>
        <sz val="11"/>
        <color theme="1"/>
        <rFont val="Times New Roman"/>
        <family val="1"/>
        <charset val="204"/>
      </rPr>
      <t xml:space="preserve">  та прийнятого   </t>
    </r>
    <r>
      <rPr>
        <b/>
        <u/>
        <sz val="11"/>
        <color theme="1"/>
        <rFont val="Times New Roman"/>
        <family val="1"/>
        <charset val="204"/>
      </rPr>
      <t>ПАТ "Одесагаз"</t>
    </r>
    <r>
      <rPr>
        <b/>
        <sz val="11"/>
        <color theme="1"/>
        <rFont val="Times New Roman"/>
        <family val="1"/>
        <charset val="204"/>
      </rPr>
      <t xml:space="preserve">  </t>
    </r>
    <r>
      <rPr>
        <sz val="10"/>
        <color theme="1"/>
        <rFont val="Times New Roman"/>
        <family val="1"/>
        <charset val="204"/>
      </rPr>
      <t xml:space="preserve">по </t>
    </r>
    <r>
      <rPr>
        <b/>
        <sz val="10"/>
        <color theme="1"/>
        <rFont val="Times New Roman"/>
        <family val="1"/>
        <charset val="204"/>
      </rPr>
      <t>ГРС</t>
    </r>
    <r>
      <rPr>
        <sz val="10"/>
        <color theme="1"/>
        <rFont val="Times New Roman"/>
        <family val="1"/>
        <charset val="204"/>
      </rPr>
      <t>:</t>
    </r>
    <r>
      <rPr>
        <u/>
        <sz val="10"/>
        <color theme="1"/>
        <rFont val="Times New Roman"/>
        <family val="1"/>
        <charset val="204"/>
      </rPr>
      <t>Затока,Б-Дністровський,Березівка,Біляївка,Благоєво,</t>
    </r>
  </si>
  <si>
    <t xml:space="preserve">Хімік ВХАЛ ГКС Березівка                                                                                                                      Тимошевська Л.М.                                                       30.11.2016 р.                                                            </t>
  </si>
  <si>
    <t>Начальник служби ГВтаМ                                                                                                                       Щабельський О.А.                                                        30.11.2016 р.</t>
  </si>
  <si>
    <t xml:space="preserve">Начальник Одеського ЛВУМГ                                                                                                               Девдера Б.П.                                                                   30.11.2016 р.                         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</si>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</sst>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,##0.00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 wrapText="1"/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2" fontId="0" fillId="0" borderId="0" xfId="0" applyNumberFormat="1" applyProtection="1"/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164" fontId="3" fillId="0" borderId="32" xfId="0" applyNumberFormat="1" applyFont="1" applyBorder="1" applyAlignment="1" applyProtection="1">
      <alignment horizontal="center" vertical="center" wrapText="1"/>
      <protection locked="0"/>
    </xf>
    <xf numFmtId="164" fontId="3" fillId="0" borderId="33" xfId="0" applyNumberFormat="1" applyFont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164" fontId="3" fillId="0" borderId="39" xfId="0" applyNumberFormat="1" applyFont="1" applyBorder="1" applyProtection="1">
      <protection locked="0"/>
    </xf>
    <xf numFmtId="164" fontId="3" fillId="0" borderId="42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2" fontId="3" fillId="0" borderId="34" xfId="0" applyNumberFormat="1" applyFont="1" applyBorder="1" applyAlignment="1" applyProtection="1">
      <alignment horizontal="center" vertical="center" wrapText="1"/>
      <protection locked="0"/>
    </xf>
    <xf numFmtId="1" fontId="3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166" fontId="0" fillId="0" borderId="18" xfId="0" applyNumberFormat="1" applyBorder="1" applyAlignment="1">
      <alignment horizontal="center"/>
    </xf>
    <xf numFmtId="165" fontId="3" fillId="0" borderId="34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44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right" vertical="center" wrapText="1"/>
      <protection locked="0"/>
    </xf>
    <xf numFmtId="0" fontId="3" fillId="0" borderId="44" xfId="0" applyFont="1" applyBorder="1" applyAlignment="1" applyProtection="1">
      <alignment horizontal="right" vertical="center" wrapText="1"/>
      <protection locked="0"/>
    </xf>
    <xf numFmtId="0" fontId="3" fillId="0" borderId="45" xfId="0" applyFont="1" applyBorder="1" applyAlignment="1" applyProtection="1">
      <alignment horizontal="right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topLeftCell="A22" zoomScale="90" zoomScaleNormal="90" zoomScaleSheetLayoutView="90" workbookViewId="0">
      <selection activeCell="AC45" sqref="AC45"/>
    </sheetView>
  </sheetViews>
  <sheetFormatPr defaultRowHeight="15" x14ac:dyDescent="0.25"/>
  <cols>
    <col min="1" max="1" width="4.85546875" style="3" customWidth="1"/>
    <col min="2" max="2" width="7.28515625" style="3" customWidth="1"/>
    <col min="3" max="10" width="6.140625" style="3" customWidth="1"/>
    <col min="11" max="11" width="6.85546875" style="3" customWidth="1"/>
    <col min="12" max="13" width="6.140625" style="3" customWidth="1"/>
    <col min="14" max="14" width="7.28515625" style="3" customWidth="1"/>
    <col min="15" max="23" width="6.140625" style="3" customWidth="1"/>
    <col min="24" max="25" width="6" style="3" customWidth="1"/>
    <col min="26" max="28" width="6.140625" style="3" customWidth="1"/>
    <col min="29" max="29" width="17.5703125" style="3" bestFit="1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34" x14ac:dyDescent="0.25">
      <c r="A1" s="1" t="s">
        <v>0</v>
      </c>
      <c r="B1" s="2"/>
      <c r="C1" s="2"/>
      <c r="D1" s="2"/>
      <c r="M1" s="4" t="s">
        <v>55</v>
      </c>
    </row>
    <row r="2" spans="1:34" x14ac:dyDescent="0.25">
      <c r="A2" s="1" t="s">
        <v>45</v>
      </c>
      <c r="B2" s="2"/>
      <c r="C2" s="5"/>
      <c r="D2" s="2"/>
      <c r="F2" s="2"/>
      <c r="G2" s="2"/>
      <c r="H2" s="2"/>
      <c r="I2" s="2"/>
      <c r="J2" s="2"/>
      <c r="K2" s="6" t="s">
        <v>56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34" ht="13.5" customHeight="1" x14ac:dyDescent="0.25">
      <c r="A3" s="1" t="s">
        <v>46</v>
      </c>
      <c r="C3" s="6"/>
      <c r="F3" s="2"/>
      <c r="G3" s="2"/>
      <c r="H3" s="2"/>
      <c r="I3" s="2"/>
      <c r="J3" s="2"/>
      <c r="K3" s="43" t="s">
        <v>49</v>
      </c>
      <c r="Z3" s="7"/>
      <c r="AA3" s="7"/>
      <c r="AB3" s="7"/>
      <c r="AC3" s="7"/>
    </row>
    <row r="4" spans="1:34" x14ac:dyDescent="0.25">
      <c r="A4" s="8" t="s">
        <v>1</v>
      </c>
      <c r="G4" s="2"/>
      <c r="H4" s="2"/>
      <c r="I4" s="2"/>
      <c r="K4" s="44" t="s">
        <v>53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34" x14ac:dyDescent="0.25">
      <c r="A5" s="8" t="s">
        <v>47</v>
      </c>
      <c r="F5" s="2"/>
      <c r="G5" s="2"/>
      <c r="H5" s="2"/>
      <c r="K5" s="6" t="s">
        <v>54</v>
      </c>
      <c r="M5" s="7"/>
      <c r="O5" s="7"/>
      <c r="P5" s="7"/>
      <c r="Q5" s="7"/>
      <c r="R5" s="7"/>
      <c r="S5" s="7"/>
      <c r="V5" s="6" t="s">
        <v>48</v>
      </c>
      <c r="X5" s="7"/>
      <c r="Y5" s="7"/>
      <c r="Z5" s="7"/>
    </row>
    <row r="6" spans="1:34" ht="5.25" customHeight="1" thickBot="1" x14ac:dyDescent="0.3"/>
    <row r="7" spans="1:34" ht="26.25" customHeight="1" thickBot="1" x14ac:dyDescent="0.3">
      <c r="A7" s="54" t="s">
        <v>2</v>
      </c>
      <c r="B7" s="56" t="s">
        <v>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  <c r="N7" s="56" t="s">
        <v>4</v>
      </c>
      <c r="O7" s="62"/>
      <c r="P7" s="62"/>
      <c r="Q7" s="62"/>
      <c r="R7" s="62"/>
      <c r="S7" s="62"/>
      <c r="T7" s="62"/>
      <c r="U7" s="62"/>
      <c r="V7" s="62"/>
      <c r="W7" s="63"/>
      <c r="X7" s="64" t="s">
        <v>5</v>
      </c>
      <c r="Y7" s="76" t="s">
        <v>6</v>
      </c>
      <c r="Z7" s="68" t="s">
        <v>7</v>
      </c>
      <c r="AA7" s="68" t="s">
        <v>8</v>
      </c>
      <c r="AB7" s="70" t="s">
        <v>9</v>
      </c>
      <c r="AC7" s="54" t="s">
        <v>10</v>
      </c>
    </row>
    <row r="8" spans="1:34" ht="16.5" customHeight="1" thickBot="1" x14ac:dyDescent="0.3">
      <c r="A8" s="55"/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  <c r="N8" s="73" t="s">
        <v>11</v>
      </c>
      <c r="O8" s="9" t="s">
        <v>12</v>
      </c>
      <c r="P8" s="9"/>
      <c r="Q8" s="9"/>
      <c r="R8" s="9"/>
      <c r="S8" s="9"/>
      <c r="T8" s="9"/>
      <c r="U8" s="9"/>
      <c r="V8" s="9" t="s">
        <v>13</v>
      </c>
      <c r="W8" s="10"/>
      <c r="X8" s="65"/>
      <c r="Y8" s="77"/>
      <c r="Z8" s="69"/>
      <c r="AA8" s="69"/>
      <c r="AB8" s="71"/>
      <c r="AC8" s="72"/>
    </row>
    <row r="9" spans="1:34" ht="15" customHeight="1" x14ac:dyDescent="0.25">
      <c r="A9" s="55"/>
      <c r="B9" s="66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78" t="s">
        <v>25</v>
      </c>
      <c r="N9" s="74"/>
      <c r="O9" s="82" t="s">
        <v>26</v>
      </c>
      <c r="P9" s="84" t="s">
        <v>27</v>
      </c>
      <c r="Q9" s="70" t="s">
        <v>28</v>
      </c>
      <c r="R9" s="66" t="s">
        <v>29</v>
      </c>
      <c r="S9" s="52" t="s">
        <v>30</v>
      </c>
      <c r="T9" s="78" t="s">
        <v>31</v>
      </c>
      <c r="U9" s="80" t="s">
        <v>32</v>
      </c>
      <c r="V9" s="52" t="s">
        <v>33</v>
      </c>
      <c r="W9" s="78" t="s">
        <v>34</v>
      </c>
      <c r="X9" s="65"/>
      <c r="Y9" s="77"/>
      <c r="Z9" s="69"/>
      <c r="AA9" s="69"/>
      <c r="AB9" s="71"/>
      <c r="AC9" s="72"/>
    </row>
    <row r="10" spans="1:34" ht="92.25" customHeight="1" x14ac:dyDescent="0.25">
      <c r="A10" s="55"/>
      <c r="B10" s="67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79"/>
      <c r="N10" s="75"/>
      <c r="O10" s="83"/>
      <c r="P10" s="85"/>
      <c r="Q10" s="71"/>
      <c r="R10" s="67"/>
      <c r="S10" s="53"/>
      <c r="T10" s="79"/>
      <c r="U10" s="81"/>
      <c r="V10" s="53"/>
      <c r="W10" s="79"/>
      <c r="X10" s="65"/>
      <c r="Y10" s="77"/>
      <c r="Z10" s="69"/>
      <c r="AA10" s="69"/>
      <c r="AB10" s="71"/>
      <c r="AC10" s="72"/>
    </row>
    <row r="11" spans="1:34" x14ac:dyDescent="0.25">
      <c r="A11" s="11">
        <v>1</v>
      </c>
      <c r="B11" s="12">
        <v>95.762100000000004</v>
      </c>
      <c r="C11" s="12">
        <v>2.3336999999999999</v>
      </c>
      <c r="D11" s="12">
        <v>0.73750000000000004</v>
      </c>
      <c r="E11" s="12">
        <v>0.11650000000000001</v>
      </c>
      <c r="F11" s="12">
        <v>0.11799999999999999</v>
      </c>
      <c r="G11" s="12">
        <v>2.8E-3</v>
      </c>
      <c r="H11" s="12">
        <v>2.3199999999999998E-2</v>
      </c>
      <c r="I11" s="12">
        <v>1.67E-2</v>
      </c>
      <c r="J11" s="12">
        <v>1.77E-2</v>
      </c>
      <c r="K11" s="12"/>
      <c r="L11" s="12">
        <v>0.68630000000000002</v>
      </c>
      <c r="M11" s="12">
        <v>0.1855</v>
      </c>
      <c r="N11" s="13">
        <v>0.70179999999999998</v>
      </c>
      <c r="O11" s="45">
        <v>8212</v>
      </c>
      <c r="P11" s="17">
        <v>34.380000000000003</v>
      </c>
      <c r="Q11" s="15">
        <f>O11/859.8453</f>
        <v>9.5505551987084196</v>
      </c>
      <c r="R11" s="16">
        <v>9105</v>
      </c>
      <c r="S11" s="17">
        <v>38.119999999999997</v>
      </c>
      <c r="T11" s="18">
        <f t="shared" ref="T11:T40" si="0">S11/3.6</f>
        <v>10.588888888888889</v>
      </c>
      <c r="U11" s="41">
        <v>11929</v>
      </c>
      <c r="V11" s="14">
        <v>49.94</v>
      </c>
      <c r="W11" s="18">
        <f t="shared" ref="W11:W40" si="1">V11/3.6</f>
        <v>13.872222222222222</v>
      </c>
      <c r="X11" s="19">
        <v>-18.2</v>
      </c>
      <c r="Y11" s="14"/>
      <c r="Z11" s="14"/>
      <c r="AA11" s="14"/>
      <c r="AB11" s="46"/>
      <c r="AC11" s="49">
        <f>5532479.5/1000</f>
        <v>5532.4795000000004</v>
      </c>
      <c r="AD11" s="20">
        <f>SUM(B11:M11)+$K$42+$N$42</f>
        <v>100</v>
      </c>
      <c r="AE11" s="21" t="str">
        <f>IF(AD11=100,"ОК"," ")</f>
        <v>ОК</v>
      </c>
      <c r="AF11" s="22"/>
      <c r="AG11" s="22"/>
      <c r="AH11" s="22"/>
    </row>
    <row r="12" spans="1:34" x14ac:dyDescent="0.25">
      <c r="A12" s="11">
        <v>2</v>
      </c>
      <c r="B12" s="12">
        <v>95.752600000000001</v>
      </c>
      <c r="C12" s="12">
        <v>2.3283999999999998</v>
      </c>
      <c r="D12" s="12">
        <v>0.74260000000000004</v>
      </c>
      <c r="E12" s="12">
        <v>0.11799999999999999</v>
      </c>
      <c r="F12" s="12">
        <v>0.11990000000000001</v>
      </c>
      <c r="G12" s="12">
        <v>2.5999999999999999E-3</v>
      </c>
      <c r="H12" s="12">
        <v>2.35E-2</v>
      </c>
      <c r="I12" s="12">
        <v>1.7000000000000001E-2</v>
      </c>
      <c r="J12" s="12">
        <v>1.83E-2</v>
      </c>
      <c r="K12" s="12"/>
      <c r="L12" s="12">
        <v>0.69140000000000001</v>
      </c>
      <c r="M12" s="12">
        <v>0.1857</v>
      </c>
      <c r="N12" s="11">
        <v>0.70189999999999997</v>
      </c>
      <c r="O12" s="14">
        <v>8213</v>
      </c>
      <c r="P12" s="45">
        <v>34.39</v>
      </c>
      <c r="Q12" s="15">
        <f t="shared" ref="Q12:Q40" si="2">P12/3.6</f>
        <v>9.5527777777777771</v>
      </c>
      <c r="R12" s="16">
        <v>9106</v>
      </c>
      <c r="S12" s="14">
        <v>38.119999999999997</v>
      </c>
      <c r="T12" s="18">
        <f t="shared" si="0"/>
        <v>10.588888888888889</v>
      </c>
      <c r="U12" s="19">
        <v>11929</v>
      </c>
      <c r="V12" s="14">
        <v>49.94</v>
      </c>
      <c r="W12" s="18">
        <f t="shared" si="1"/>
        <v>13.872222222222222</v>
      </c>
      <c r="X12" s="19">
        <v>-18.8</v>
      </c>
      <c r="Y12" s="14"/>
      <c r="Z12" s="14"/>
      <c r="AA12" s="14"/>
      <c r="AB12" s="46"/>
      <c r="AC12" s="49">
        <f>5292694.5/1000</f>
        <v>5292.6944999999996</v>
      </c>
      <c r="AD12" s="20">
        <f t="shared" ref="AD12:AD41" si="3">SUM(B12:M12)+$K$42+$N$42</f>
        <v>99.999999999999986</v>
      </c>
      <c r="AE12" s="21" t="str">
        <f>IF(AD12=100,"ОК"," ")</f>
        <v>ОК</v>
      </c>
      <c r="AF12" s="22"/>
      <c r="AG12" s="22"/>
      <c r="AH12" s="22"/>
    </row>
    <row r="13" spans="1:34" x14ac:dyDescent="0.25">
      <c r="A13" s="11">
        <v>3</v>
      </c>
      <c r="B13" s="12">
        <v>95.678600000000003</v>
      </c>
      <c r="C13" s="12">
        <v>2.3757999999999999</v>
      </c>
      <c r="D13" s="12">
        <v>0.75180000000000002</v>
      </c>
      <c r="E13" s="12">
        <v>0.1181</v>
      </c>
      <c r="F13" s="12">
        <v>0.1207</v>
      </c>
      <c r="G13" s="12">
        <v>2.7000000000000001E-3</v>
      </c>
      <c r="H13" s="12">
        <v>2.3699999999999999E-2</v>
      </c>
      <c r="I13" s="12">
        <v>1.7399999999999999E-2</v>
      </c>
      <c r="J13" s="12">
        <v>2.0899999999999998E-2</v>
      </c>
      <c r="K13" s="12"/>
      <c r="L13" s="12">
        <v>0.7</v>
      </c>
      <c r="M13" s="12">
        <v>0.1903</v>
      </c>
      <c r="N13" s="11">
        <v>0.70250000000000001</v>
      </c>
      <c r="O13" s="16">
        <v>8217</v>
      </c>
      <c r="P13" s="17">
        <v>34.4</v>
      </c>
      <c r="Q13" s="15">
        <f t="shared" si="2"/>
        <v>9.5555555555555554</v>
      </c>
      <c r="R13" s="16">
        <v>9111</v>
      </c>
      <c r="S13" s="14">
        <v>38.15</v>
      </c>
      <c r="T13" s="18">
        <f t="shared" si="0"/>
        <v>10.597222222222221</v>
      </c>
      <c r="U13" s="19">
        <v>11929</v>
      </c>
      <c r="V13" s="14">
        <v>49.94</v>
      </c>
      <c r="W13" s="18">
        <f t="shared" si="1"/>
        <v>13.872222222222222</v>
      </c>
      <c r="X13" s="19">
        <v>-20.399999999999999</v>
      </c>
      <c r="Y13" s="14"/>
      <c r="Z13" s="14"/>
      <c r="AA13" s="14"/>
      <c r="AB13" s="46"/>
      <c r="AC13" s="49">
        <f>5184950/1000</f>
        <v>5184.95</v>
      </c>
      <c r="AD13" s="20">
        <f>SUM(B13:M13)+$K$42+$N$42</f>
        <v>100</v>
      </c>
      <c r="AE13" s="21" t="str">
        <f>IF(AD13=100,"ОК"," ")</f>
        <v>ОК</v>
      </c>
      <c r="AF13" s="22"/>
      <c r="AG13" s="22"/>
      <c r="AH13" s="22"/>
    </row>
    <row r="14" spans="1:34" x14ac:dyDescent="0.25">
      <c r="A14" s="11">
        <v>4</v>
      </c>
      <c r="B14" s="12">
        <v>95.793999999999997</v>
      </c>
      <c r="C14" s="12">
        <v>2.2949000000000002</v>
      </c>
      <c r="D14" s="12">
        <v>0.72409999999999997</v>
      </c>
      <c r="E14" s="12">
        <v>0.11409999999999999</v>
      </c>
      <c r="F14" s="12">
        <v>0.1159</v>
      </c>
      <c r="G14" s="12">
        <v>2.5999999999999999E-3</v>
      </c>
      <c r="H14" s="12">
        <v>2.2700000000000001E-2</v>
      </c>
      <c r="I14" s="12">
        <v>1.67E-2</v>
      </c>
      <c r="J14" s="12">
        <v>2.0500000000000001E-2</v>
      </c>
      <c r="K14" s="12"/>
      <c r="L14" s="12">
        <v>0.70609999999999995</v>
      </c>
      <c r="M14" s="12">
        <v>0.18840000000000001</v>
      </c>
      <c r="N14" s="11">
        <v>0.70150000000000001</v>
      </c>
      <c r="O14" s="16">
        <v>8206</v>
      </c>
      <c r="P14" s="14">
        <v>34.36</v>
      </c>
      <c r="Q14" s="18">
        <f t="shared" si="2"/>
        <v>9.5444444444444443</v>
      </c>
      <c r="R14" s="16">
        <v>9099</v>
      </c>
      <c r="S14" s="17">
        <v>38.1</v>
      </c>
      <c r="T14" s="18">
        <f t="shared" si="0"/>
        <v>10.583333333333334</v>
      </c>
      <c r="U14" s="19">
        <v>11922</v>
      </c>
      <c r="V14" s="14">
        <v>49.92</v>
      </c>
      <c r="W14" s="18">
        <f t="shared" si="1"/>
        <v>13.866666666666667</v>
      </c>
      <c r="X14" s="19">
        <v>-21.8</v>
      </c>
      <c r="Y14" s="14"/>
      <c r="Z14" s="14"/>
      <c r="AA14" s="14"/>
      <c r="AB14" s="46"/>
      <c r="AC14" s="49">
        <f>5241991.2/1000</f>
        <v>5241.9912000000004</v>
      </c>
      <c r="AD14" s="20">
        <f>SUM(B14:M14)+$K$42+$N$42</f>
        <v>99.999999999999986</v>
      </c>
      <c r="AE14" s="21" t="str">
        <f t="shared" ref="AE14:AE41" si="4">IF(AD14=100,"ОК"," ")</f>
        <v>ОК</v>
      </c>
      <c r="AF14" s="22"/>
      <c r="AG14" s="22"/>
      <c r="AH14" s="22"/>
    </row>
    <row r="15" spans="1:34" x14ac:dyDescent="0.25">
      <c r="A15" s="11">
        <v>5</v>
      </c>
      <c r="B15" s="12">
        <v>95.808899999999994</v>
      </c>
      <c r="C15" s="12">
        <v>2.2915999999999999</v>
      </c>
      <c r="D15" s="12">
        <v>0.72130000000000005</v>
      </c>
      <c r="E15" s="12">
        <v>0.1138</v>
      </c>
      <c r="F15" s="12">
        <v>0.1152</v>
      </c>
      <c r="G15" s="12">
        <v>2.5999999999999999E-3</v>
      </c>
      <c r="H15" s="12">
        <v>2.24E-2</v>
      </c>
      <c r="I15" s="12">
        <v>1.6199999999999999E-2</v>
      </c>
      <c r="J15" s="12">
        <v>1.8700000000000001E-2</v>
      </c>
      <c r="K15" s="12"/>
      <c r="L15" s="12">
        <v>0.70140000000000002</v>
      </c>
      <c r="M15" s="12">
        <v>0.18790000000000001</v>
      </c>
      <c r="N15" s="11">
        <v>0.70130000000000003</v>
      </c>
      <c r="O15" s="16">
        <v>8205</v>
      </c>
      <c r="P15" s="14">
        <v>34.35</v>
      </c>
      <c r="Q15" s="18">
        <f t="shared" si="2"/>
        <v>9.5416666666666661</v>
      </c>
      <c r="R15" s="16">
        <v>9098</v>
      </c>
      <c r="S15" s="14">
        <v>38.090000000000003</v>
      </c>
      <c r="T15" s="18">
        <f t="shared" si="0"/>
        <v>10.580555555555556</v>
      </c>
      <c r="U15" s="19">
        <v>11922</v>
      </c>
      <c r="V15" s="14">
        <v>49.92</v>
      </c>
      <c r="W15" s="18">
        <f t="shared" si="1"/>
        <v>13.866666666666667</v>
      </c>
      <c r="X15" s="19"/>
      <c r="Y15" s="14"/>
      <c r="Z15" s="14"/>
      <c r="AA15" s="14"/>
      <c r="AB15" s="46"/>
      <c r="AC15" s="49">
        <f>5053141.6/1000</f>
        <v>5053.1415999999999</v>
      </c>
      <c r="AD15" s="20">
        <f t="shared" si="3"/>
        <v>100</v>
      </c>
      <c r="AE15" s="21" t="str">
        <f t="shared" si="4"/>
        <v>ОК</v>
      </c>
      <c r="AF15" s="22"/>
      <c r="AG15" s="22"/>
      <c r="AH15" s="22"/>
    </row>
    <row r="16" spans="1:34" x14ac:dyDescent="0.25">
      <c r="A16" s="11">
        <v>6</v>
      </c>
      <c r="B16" s="12">
        <v>95.750399999999999</v>
      </c>
      <c r="C16" s="12">
        <v>2.3169</v>
      </c>
      <c r="D16" s="12">
        <v>0.73150000000000004</v>
      </c>
      <c r="E16" s="12">
        <v>0.11459999999999999</v>
      </c>
      <c r="F16" s="12">
        <v>0.1177</v>
      </c>
      <c r="G16" s="12">
        <v>2.5999999999999999E-3</v>
      </c>
      <c r="H16" s="12">
        <v>2.3E-2</v>
      </c>
      <c r="I16" s="12">
        <v>1.7000000000000001E-2</v>
      </c>
      <c r="J16" s="12">
        <v>2.1899999999999999E-2</v>
      </c>
      <c r="K16" s="12"/>
      <c r="L16" s="12">
        <v>0.71460000000000001</v>
      </c>
      <c r="M16" s="12">
        <v>0.1898</v>
      </c>
      <c r="N16" s="11">
        <v>0.70189999999999997</v>
      </c>
      <c r="O16" s="16">
        <v>8208</v>
      </c>
      <c r="P16" s="14">
        <v>34.369999999999997</v>
      </c>
      <c r="Q16" s="18">
        <f t="shared" si="2"/>
        <v>9.5472222222222207</v>
      </c>
      <c r="R16" s="16">
        <v>9101</v>
      </c>
      <c r="S16" s="17">
        <v>38.1</v>
      </c>
      <c r="T16" s="18">
        <f t="shared" si="0"/>
        <v>10.583333333333334</v>
      </c>
      <c r="U16" s="19">
        <v>11923</v>
      </c>
      <c r="V16" s="14">
        <v>49.92</v>
      </c>
      <c r="W16" s="18">
        <f t="shared" si="1"/>
        <v>13.866666666666667</v>
      </c>
      <c r="X16" s="19"/>
      <c r="Y16" s="14"/>
      <c r="Z16" s="14"/>
      <c r="AA16" s="14"/>
      <c r="AB16" s="46"/>
      <c r="AC16" s="49">
        <f>4883913.2/1000</f>
        <v>4883.9132</v>
      </c>
      <c r="AD16" s="20">
        <f t="shared" si="3"/>
        <v>100</v>
      </c>
      <c r="AE16" s="21" t="str">
        <f t="shared" si="4"/>
        <v>ОК</v>
      </c>
      <c r="AF16" s="22"/>
      <c r="AG16" s="22"/>
      <c r="AH16" s="22"/>
    </row>
    <row r="17" spans="1:34" x14ac:dyDescent="0.25">
      <c r="A17" s="11">
        <v>7</v>
      </c>
      <c r="B17" s="12">
        <v>95.719300000000004</v>
      </c>
      <c r="C17" s="12">
        <v>2.3399000000000001</v>
      </c>
      <c r="D17" s="12">
        <v>0.73629999999999995</v>
      </c>
      <c r="E17" s="12">
        <v>0.1145</v>
      </c>
      <c r="F17" s="12">
        <v>0.1179</v>
      </c>
      <c r="G17" s="12">
        <v>2.8E-3</v>
      </c>
      <c r="H17" s="12">
        <v>2.3199999999999998E-2</v>
      </c>
      <c r="I17" s="12">
        <v>1.7100000000000001E-2</v>
      </c>
      <c r="J17" s="12">
        <v>2.3E-2</v>
      </c>
      <c r="K17" s="12">
        <v>8.0000000000000002E-3</v>
      </c>
      <c r="L17" s="12">
        <v>0.71540000000000004</v>
      </c>
      <c r="M17" s="12">
        <v>0.19059999999999999</v>
      </c>
      <c r="N17" s="11">
        <v>0.70209999999999995</v>
      </c>
      <c r="O17" s="16">
        <v>8211</v>
      </c>
      <c r="P17" s="14">
        <v>34.380000000000003</v>
      </c>
      <c r="Q17" s="18">
        <f t="shared" si="2"/>
        <v>9.5500000000000007</v>
      </c>
      <c r="R17" s="16">
        <v>9104</v>
      </c>
      <c r="S17" s="14">
        <v>38.119999999999997</v>
      </c>
      <c r="T17" s="18">
        <f t="shared" si="0"/>
        <v>10.588888888888889</v>
      </c>
      <c r="U17" s="19">
        <v>11924</v>
      </c>
      <c r="V17" s="14">
        <v>49.92</v>
      </c>
      <c r="W17" s="18">
        <f t="shared" si="1"/>
        <v>13.866666666666667</v>
      </c>
      <c r="X17" s="19">
        <v>-20.399999999999999</v>
      </c>
      <c r="Y17" s="14"/>
      <c r="Z17" s="14"/>
      <c r="AA17" s="14"/>
      <c r="AB17" s="47"/>
      <c r="AC17" s="49">
        <f>4511720/1000</f>
        <v>4511.72</v>
      </c>
      <c r="AD17" s="20">
        <f>SUM(B17:M17)+$K$42+$N$42-K17</f>
        <v>100.00000000000001</v>
      </c>
      <c r="AE17" s="21" t="str">
        <f t="shared" si="4"/>
        <v>ОК</v>
      </c>
      <c r="AF17" s="22"/>
      <c r="AG17" s="22"/>
      <c r="AH17" s="22"/>
    </row>
    <row r="18" spans="1:34" x14ac:dyDescent="0.25">
      <c r="A18" s="11">
        <v>8</v>
      </c>
      <c r="B18" s="12">
        <v>95.618899999999996</v>
      </c>
      <c r="C18" s="12">
        <v>2.3988</v>
      </c>
      <c r="D18" s="12">
        <v>0.75870000000000004</v>
      </c>
      <c r="E18" s="12">
        <v>0.1193</v>
      </c>
      <c r="F18" s="12">
        <v>0.1232</v>
      </c>
      <c r="G18" s="12">
        <v>2.5999999999999999E-3</v>
      </c>
      <c r="H18" s="12">
        <v>2.47E-2</v>
      </c>
      <c r="I18" s="12">
        <v>1.8599999999999998E-2</v>
      </c>
      <c r="J18" s="12">
        <v>2.81E-2</v>
      </c>
      <c r="K18" s="12"/>
      <c r="L18" s="12">
        <v>0.71530000000000005</v>
      </c>
      <c r="M18" s="12">
        <v>0.1918</v>
      </c>
      <c r="N18" s="11">
        <v>0.70320000000000005</v>
      </c>
      <c r="O18" s="16">
        <v>8221</v>
      </c>
      <c r="P18" s="14">
        <v>34.42</v>
      </c>
      <c r="Q18" s="18">
        <f t="shared" si="2"/>
        <v>9.5611111111111118</v>
      </c>
      <c r="R18" s="16">
        <v>9115</v>
      </c>
      <c r="S18" s="14">
        <v>38.159999999999997</v>
      </c>
      <c r="T18" s="18">
        <f t="shared" si="0"/>
        <v>10.6</v>
      </c>
      <c r="U18" s="19">
        <v>11930</v>
      </c>
      <c r="V18" s="14">
        <v>49.95</v>
      </c>
      <c r="W18" s="18">
        <f t="shared" si="1"/>
        <v>13.875</v>
      </c>
      <c r="X18" s="19">
        <v>-20.8</v>
      </c>
      <c r="Y18" s="14"/>
      <c r="Z18" s="14"/>
      <c r="AA18" s="14"/>
      <c r="AB18" s="47" t="s">
        <v>50</v>
      </c>
      <c r="AC18" s="49">
        <f>4751925.6/1000</f>
        <v>4751.9255999999996</v>
      </c>
      <c r="AD18" s="20">
        <f t="shared" si="3"/>
        <v>99.999999999999986</v>
      </c>
      <c r="AE18" s="21" t="str">
        <f t="shared" si="4"/>
        <v>ОК</v>
      </c>
      <c r="AF18" s="22"/>
      <c r="AG18" s="22"/>
      <c r="AH18" s="22"/>
    </row>
    <row r="19" spans="1:34" x14ac:dyDescent="0.25">
      <c r="A19" s="11">
        <v>9</v>
      </c>
      <c r="B19" s="12">
        <v>95.861000000000004</v>
      </c>
      <c r="C19" s="12">
        <v>2.2726999999999999</v>
      </c>
      <c r="D19" s="12">
        <v>0.71340000000000003</v>
      </c>
      <c r="E19" s="12">
        <v>0.1114</v>
      </c>
      <c r="F19" s="12">
        <v>0.112</v>
      </c>
      <c r="G19" s="12">
        <v>2.5999999999999999E-3</v>
      </c>
      <c r="H19" s="12">
        <v>2.18E-2</v>
      </c>
      <c r="I19" s="12">
        <v>1.5800000000000002E-2</v>
      </c>
      <c r="J19" s="12">
        <v>1.6799999999999999E-2</v>
      </c>
      <c r="K19" s="12"/>
      <c r="L19" s="12">
        <v>0.69350000000000001</v>
      </c>
      <c r="M19" s="12">
        <v>0.17899999999999999</v>
      </c>
      <c r="N19" s="11">
        <v>0.70079999999999998</v>
      </c>
      <c r="O19" s="16">
        <v>8202</v>
      </c>
      <c r="P19" s="14">
        <v>34.340000000000003</v>
      </c>
      <c r="Q19" s="18">
        <f t="shared" si="2"/>
        <v>9.5388888888888896</v>
      </c>
      <c r="R19" s="16">
        <v>9095</v>
      </c>
      <c r="S19" s="14">
        <v>38.08</v>
      </c>
      <c r="T19" s="18">
        <f t="shared" si="0"/>
        <v>10.577777777777778</v>
      </c>
      <c r="U19" s="19">
        <v>11923</v>
      </c>
      <c r="V19" s="14">
        <v>49.92</v>
      </c>
      <c r="W19" s="18">
        <f t="shared" si="1"/>
        <v>13.866666666666667</v>
      </c>
      <c r="X19" s="19">
        <v>-20.8</v>
      </c>
      <c r="Y19" s="14"/>
      <c r="Z19" s="14" t="s">
        <v>51</v>
      </c>
      <c r="AA19" s="14" t="s">
        <v>52</v>
      </c>
      <c r="AB19" s="46"/>
      <c r="AC19" s="49">
        <f>4818389.8/1000</f>
        <v>4818.3897999999999</v>
      </c>
      <c r="AD19" s="20">
        <f t="shared" si="3"/>
        <v>100.00000000000001</v>
      </c>
      <c r="AE19" s="21" t="str">
        <f t="shared" si="4"/>
        <v>ОК</v>
      </c>
      <c r="AF19" s="22"/>
      <c r="AG19" s="22"/>
      <c r="AH19" s="22"/>
    </row>
    <row r="20" spans="1:34" x14ac:dyDescent="0.25">
      <c r="A20" s="11">
        <v>10</v>
      </c>
      <c r="B20" s="12">
        <v>96.024799999999999</v>
      </c>
      <c r="C20" s="12">
        <v>2.1962000000000002</v>
      </c>
      <c r="D20" s="12">
        <v>0.68220000000000003</v>
      </c>
      <c r="E20" s="12">
        <v>0.1065</v>
      </c>
      <c r="F20" s="12">
        <v>0.1038</v>
      </c>
      <c r="G20" s="12">
        <v>2.5000000000000001E-3</v>
      </c>
      <c r="H20" s="12">
        <v>1.9699999999999999E-2</v>
      </c>
      <c r="I20" s="12">
        <v>1.4200000000000001E-2</v>
      </c>
      <c r="J20" s="12">
        <v>1.15E-2</v>
      </c>
      <c r="K20" s="12"/>
      <c r="L20" s="12">
        <v>0.67</v>
      </c>
      <c r="M20" s="12">
        <v>0.1686</v>
      </c>
      <c r="N20" s="11">
        <v>0.69930000000000003</v>
      </c>
      <c r="O20" s="16">
        <v>8191</v>
      </c>
      <c r="P20" s="14">
        <v>34.29</v>
      </c>
      <c r="Q20" s="18">
        <f t="shared" si="2"/>
        <v>9.5250000000000004</v>
      </c>
      <c r="R20" s="16">
        <v>9083</v>
      </c>
      <c r="S20" s="14">
        <v>38.03</v>
      </c>
      <c r="T20" s="18">
        <f t="shared" si="0"/>
        <v>10.563888888888888</v>
      </c>
      <c r="U20" s="19">
        <v>11921</v>
      </c>
      <c r="V20" s="14">
        <v>49.91</v>
      </c>
      <c r="W20" s="18">
        <f t="shared" si="1"/>
        <v>13.863888888888887</v>
      </c>
      <c r="X20" s="19">
        <v>-21.1</v>
      </c>
      <c r="Y20" s="14"/>
      <c r="Z20" s="14"/>
      <c r="AA20" s="14"/>
      <c r="AB20" s="46"/>
      <c r="AC20" s="49">
        <f>5201871.9/1000</f>
        <v>5201.8719000000001</v>
      </c>
      <c r="AD20" s="20">
        <f t="shared" si="3"/>
        <v>100</v>
      </c>
      <c r="AE20" s="21" t="str">
        <f t="shared" si="4"/>
        <v>ОК</v>
      </c>
      <c r="AF20" s="22"/>
      <c r="AG20" s="22"/>
      <c r="AH20" s="22"/>
    </row>
    <row r="21" spans="1:34" x14ac:dyDescent="0.25">
      <c r="A21" s="11">
        <v>11</v>
      </c>
      <c r="B21" s="12">
        <v>95.722999999999999</v>
      </c>
      <c r="C21" s="12">
        <v>2.3410000000000002</v>
      </c>
      <c r="D21" s="12">
        <v>0.7339</v>
      </c>
      <c r="E21" s="12">
        <v>0.1128</v>
      </c>
      <c r="F21" s="12">
        <v>0.11609999999999999</v>
      </c>
      <c r="G21" s="12">
        <v>2.5999999999999999E-3</v>
      </c>
      <c r="H21" s="12">
        <v>2.2800000000000001E-2</v>
      </c>
      <c r="I21" s="12">
        <v>1.67E-2</v>
      </c>
      <c r="J21" s="12">
        <v>1.9699999999999999E-2</v>
      </c>
      <c r="K21" s="12"/>
      <c r="L21" s="12">
        <v>0.72019999999999995</v>
      </c>
      <c r="M21" s="12">
        <v>0.19120000000000001</v>
      </c>
      <c r="N21" s="11">
        <v>0.70199999999999996</v>
      </c>
      <c r="O21" s="16">
        <v>8208</v>
      </c>
      <c r="P21" s="14">
        <v>34.369999999999997</v>
      </c>
      <c r="Q21" s="18">
        <f t="shared" si="2"/>
        <v>9.5472222222222207</v>
      </c>
      <c r="R21" s="16">
        <v>9101</v>
      </c>
      <c r="S21" s="17">
        <v>38.1</v>
      </c>
      <c r="T21" s="18">
        <f t="shared" si="0"/>
        <v>10.583333333333334</v>
      </c>
      <c r="U21" s="19">
        <v>11922</v>
      </c>
      <c r="V21" s="14">
        <v>49.92</v>
      </c>
      <c r="W21" s="18">
        <f t="shared" si="1"/>
        <v>13.866666666666667</v>
      </c>
      <c r="X21" s="19">
        <v>-18.8</v>
      </c>
      <c r="Y21" s="14"/>
      <c r="Z21" s="14"/>
      <c r="AA21" s="14"/>
      <c r="AB21" s="46"/>
      <c r="AC21" s="49">
        <f>5218321.4/1000</f>
        <v>5218.3214000000007</v>
      </c>
      <c r="AD21" s="20">
        <f t="shared" si="3"/>
        <v>100</v>
      </c>
      <c r="AE21" s="21" t="str">
        <f t="shared" si="4"/>
        <v>ОК</v>
      </c>
      <c r="AF21" s="22"/>
      <c r="AG21" s="22"/>
      <c r="AH21" s="22"/>
    </row>
    <row r="22" spans="1:34" x14ac:dyDescent="0.25">
      <c r="A22" s="11">
        <v>12</v>
      </c>
      <c r="B22" s="12">
        <v>95.997100000000003</v>
      </c>
      <c r="C22" s="12">
        <v>2.1997</v>
      </c>
      <c r="D22" s="12">
        <v>0.68889999999999996</v>
      </c>
      <c r="E22" s="12">
        <v>0.1079</v>
      </c>
      <c r="F22" s="12">
        <v>0.1062</v>
      </c>
      <c r="G22" s="12">
        <v>2.3E-3</v>
      </c>
      <c r="H22" s="12">
        <v>2.0199999999999999E-2</v>
      </c>
      <c r="I22" s="12">
        <v>1.4200000000000001E-2</v>
      </c>
      <c r="J22" s="12">
        <v>1.2E-2</v>
      </c>
      <c r="K22" s="12"/>
      <c r="L22" s="12">
        <v>0.67930000000000001</v>
      </c>
      <c r="M22" s="12">
        <v>0.17219999999999999</v>
      </c>
      <c r="N22" s="11">
        <v>0.6996</v>
      </c>
      <c r="O22" s="16">
        <v>8192</v>
      </c>
      <c r="P22" s="17">
        <v>34.299999999999997</v>
      </c>
      <c r="Q22" s="18">
        <f t="shared" si="2"/>
        <v>9.5277777777777768</v>
      </c>
      <c r="R22" s="16">
        <v>9084</v>
      </c>
      <c r="S22" s="14">
        <v>38.03</v>
      </c>
      <c r="T22" s="18">
        <f t="shared" si="0"/>
        <v>10.563888888888888</v>
      </c>
      <c r="U22" s="19">
        <v>11920</v>
      </c>
      <c r="V22" s="14">
        <v>49.91</v>
      </c>
      <c r="W22" s="18">
        <f t="shared" si="1"/>
        <v>13.863888888888887</v>
      </c>
      <c r="X22" s="19"/>
      <c r="Y22" s="14"/>
      <c r="Z22" s="14"/>
      <c r="AA22" s="14"/>
      <c r="AB22" s="46"/>
      <c r="AC22" s="49">
        <f>5185916.4/1000</f>
        <v>5185.9164000000001</v>
      </c>
      <c r="AD22" s="20">
        <f t="shared" si="3"/>
        <v>100.00000000000001</v>
      </c>
      <c r="AE22" s="21" t="str">
        <f t="shared" si="4"/>
        <v>ОК</v>
      </c>
      <c r="AF22" s="22"/>
      <c r="AG22" s="22"/>
      <c r="AH22" s="22"/>
    </row>
    <row r="23" spans="1:34" x14ac:dyDescent="0.25">
      <c r="A23" s="11">
        <v>13</v>
      </c>
      <c r="B23" s="12">
        <v>96.134299999999996</v>
      </c>
      <c r="C23" s="12">
        <v>2.1379999999999999</v>
      </c>
      <c r="D23" s="12">
        <v>0.66830000000000001</v>
      </c>
      <c r="E23" s="12">
        <v>0.10589999999999999</v>
      </c>
      <c r="F23" s="12">
        <v>0.1011</v>
      </c>
      <c r="G23" s="12">
        <v>2.3999999999999998E-3</v>
      </c>
      <c r="H23" s="12">
        <v>1.8800000000000001E-2</v>
      </c>
      <c r="I23" s="12">
        <v>1.34E-2</v>
      </c>
      <c r="J23" s="12">
        <v>7.1999999999999998E-3</v>
      </c>
      <c r="K23" s="12"/>
      <c r="L23" s="12">
        <v>0.64900000000000002</v>
      </c>
      <c r="M23" s="12">
        <v>0.16159999999999999</v>
      </c>
      <c r="N23" s="11">
        <v>0.69840000000000002</v>
      </c>
      <c r="O23" s="16">
        <v>8186</v>
      </c>
      <c r="P23" s="14">
        <v>34.270000000000003</v>
      </c>
      <c r="Q23" s="18">
        <f t="shared" si="2"/>
        <v>9.5194444444444457</v>
      </c>
      <c r="R23" s="16">
        <v>9077</v>
      </c>
      <c r="S23" s="17">
        <v>38</v>
      </c>
      <c r="T23" s="18">
        <f t="shared" si="0"/>
        <v>10.555555555555555</v>
      </c>
      <c r="U23" s="19">
        <v>11921</v>
      </c>
      <c r="V23" s="14">
        <v>49.91</v>
      </c>
      <c r="W23" s="18">
        <f t="shared" si="1"/>
        <v>13.863888888888887</v>
      </c>
      <c r="X23" s="19"/>
      <c r="Y23" s="14"/>
      <c r="Z23" s="14"/>
      <c r="AA23" s="14"/>
      <c r="AB23" s="46"/>
      <c r="AC23" s="49">
        <f>5545304.6/1000</f>
        <v>5545.3045999999995</v>
      </c>
      <c r="AD23" s="20">
        <f t="shared" si="3"/>
        <v>100.00000000000001</v>
      </c>
      <c r="AE23" s="21" t="str">
        <f t="shared" si="4"/>
        <v>ОК</v>
      </c>
      <c r="AF23" s="22"/>
      <c r="AG23" s="22"/>
      <c r="AH23" s="22"/>
    </row>
    <row r="24" spans="1:34" x14ac:dyDescent="0.25">
      <c r="A24" s="11">
        <v>14</v>
      </c>
      <c r="B24" s="12">
        <v>96.158299999999997</v>
      </c>
      <c r="C24" s="12">
        <v>2.1233</v>
      </c>
      <c r="D24" s="12">
        <v>0.66190000000000004</v>
      </c>
      <c r="E24" s="12">
        <v>0.1048</v>
      </c>
      <c r="F24" s="12">
        <v>9.9699999999999997E-2</v>
      </c>
      <c r="G24" s="12">
        <v>2.5999999999999999E-3</v>
      </c>
      <c r="H24" s="12">
        <v>1.8800000000000001E-2</v>
      </c>
      <c r="I24" s="12">
        <v>1.34E-2</v>
      </c>
      <c r="J24" s="12">
        <v>7.3000000000000001E-3</v>
      </c>
      <c r="K24" s="12">
        <v>9.2999999999999992E-3</v>
      </c>
      <c r="L24" s="12">
        <v>0.64980000000000004</v>
      </c>
      <c r="M24" s="12">
        <v>0.16009999999999999</v>
      </c>
      <c r="N24" s="11">
        <v>0.69820000000000004</v>
      </c>
      <c r="O24" s="16">
        <v>8184</v>
      </c>
      <c r="P24" s="14">
        <v>34.26</v>
      </c>
      <c r="Q24" s="18">
        <f t="shared" si="2"/>
        <v>9.5166666666666657</v>
      </c>
      <c r="R24" s="16">
        <v>9075</v>
      </c>
      <c r="S24" s="17">
        <v>38</v>
      </c>
      <c r="T24" s="18">
        <f t="shared" si="0"/>
        <v>10.555555555555555</v>
      </c>
      <c r="U24" s="19">
        <v>11920</v>
      </c>
      <c r="V24" s="14">
        <v>49.91</v>
      </c>
      <c r="W24" s="18">
        <f t="shared" si="1"/>
        <v>13.863888888888887</v>
      </c>
      <c r="X24" s="19">
        <v>-19.399999999999999</v>
      </c>
      <c r="Y24" s="14"/>
      <c r="Z24" s="14"/>
      <c r="AA24" s="14"/>
      <c r="AB24" s="46"/>
      <c r="AC24" s="49">
        <f>6237759.2/1000</f>
        <v>6237.7592000000004</v>
      </c>
      <c r="AD24" s="20">
        <f>SUM(B24:M24)+$K$42+$N$42-K24</f>
        <v>100</v>
      </c>
      <c r="AE24" s="21" t="str">
        <f t="shared" si="4"/>
        <v>ОК</v>
      </c>
      <c r="AF24" s="22"/>
      <c r="AG24" s="22"/>
      <c r="AH24" s="22"/>
    </row>
    <row r="25" spans="1:34" x14ac:dyDescent="0.25">
      <c r="A25" s="11">
        <v>15</v>
      </c>
      <c r="B25" s="12">
        <v>96.133899999999997</v>
      </c>
      <c r="C25" s="12">
        <v>2.1307999999999998</v>
      </c>
      <c r="D25" s="12">
        <v>0.67390000000000005</v>
      </c>
      <c r="E25" s="12">
        <v>0.1081</v>
      </c>
      <c r="F25" s="12">
        <v>0.1032</v>
      </c>
      <c r="G25" s="12">
        <v>2.5999999999999999E-3</v>
      </c>
      <c r="H25" s="12">
        <v>1.9300000000000001E-2</v>
      </c>
      <c r="I25" s="12">
        <v>1.32E-2</v>
      </c>
      <c r="J25" s="12">
        <v>7.3000000000000001E-3</v>
      </c>
      <c r="K25" s="12"/>
      <c r="L25" s="12">
        <v>0.64539999999999997</v>
      </c>
      <c r="M25" s="12">
        <v>0.1623</v>
      </c>
      <c r="N25" s="11">
        <v>0.69850000000000001</v>
      </c>
      <c r="O25" s="16">
        <v>8187</v>
      </c>
      <c r="P25" s="14">
        <v>34.28</v>
      </c>
      <c r="Q25" s="18">
        <f t="shared" si="2"/>
        <v>9.5222222222222221</v>
      </c>
      <c r="R25" s="16">
        <v>9079</v>
      </c>
      <c r="S25" s="14">
        <v>38.01</v>
      </c>
      <c r="T25" s="18">
        <f t="shared" si="0"/>
        <v>10.558333333333332</v>
      </c>
      <c r="U25" s="19">
        <v>11922</v>
      </c>
      <c r="V25" s="14">
        <v>49.92</v>
      </c>
      <c r="W25" s="18">
        <f t="shared" si="1"/>
        <v>13.866666666666667</v>
      </c>
      <c r="X25" s="19">
        <v>-19.8</v>
      </c>
      <c r="Y25" s="14"/>
      <c r="Z25" s="14"/>
      <c r="AA25" s="14"/>
      <c r="AB25" s="46"/>
      <c r="AC25" s="49">
        <f>6533968.5/1000</f>
        <v>6533.9684999999999</v>
      </c>
      <c r="AD25" s="20">
        <f t="shared" si="3"/>
        <v>99.999999999999986</v>
      </c>
      <c r="AE25" s="21" t="str">
        <f t="shared" si="4"/>
        <v>ОК</v>
      </c>
      <c r="AF25" s="22"/>
      <c r="AG25" s="22"/>
      <c r="AH25" s="22"/>
    </row>
    <row r="26" spans="1:34" x14ac:dyDescent="0.25">
      <c r="A26" s="11">
        <v>16</v>
      </c>
      <c r="B26" s="12">
        <v>96.078299999999999</v>
      </c>
      <c r="C26" s="12">
        <v>2.1606000000000001</v>
      </c>
      <c r="D26" s="12">
        <v>0.68640000000000001</v>
      </c>
      <c r="E26" s="12">
        <v>0.1109</v>
      </c>
      <c r="F26" s="12">
        <v>0.10680000000000001</v>
      </c>
      <c r="G26" s="12">
        <v>2.5999999999999999E-3</v>
      </c>
      <c r="H26" s="12">
        <v>2.0199999999999999E-2</v>
      </c>
      <c r="I26" s="12">
        <v>1.3899999999999999E-2</v>
      </c>
      <c r="J26" s="12">
        <v>8.6E-3</v>
      </c>
      <c r="K26" s="12"/>
      <c r="L26" s="12">
        <v>0.64600000000000002</v>
      </c>
      <c r="M26" s="12">
        <v>0.16569999999999999</v>
      </c>
      <c r="N26" s="13">
        <v>0.69899999999999995</v>
      </c>
      <c r="O26" s="16">
        <v>8192</v>
      </c>
      <c r="P26" s="17">
        <v>34.299999999999997</v>
      </c>
      <c r="Q26" s="18">
        <f t="shared" si="2"/>
        <v>9.5277777777777768</v>
      </c>
      <c r="R26" s="16">
        <v>9084</v>
      </c>
      <c r="S26" s="14">
        <v>38.03</v>
      </c>
      <c r="T26" s="18">
        <f t="shared" si="0"/>
        <v>10.563888888888888</v>
      </c>
      <c r="U26" s="19">
        <v>11925</v>
      </c>
      <c r="V26" s="14">
        <v>49.92</v>
      </c>
      <c r="W26" s="18">
        <f t="shared" si="1"/>
        <v>13.866666666666667</v>
      </c>
      <c r="X26" s="19">
        <v>-21.1</v>
      </c>
      <c r="Y26" s="14"/>
      <c r="Z26" s="14"/>
      <c r="AA26" s="14"/>
      <c r="AB26" s="46"/>
      <c r="AC26" s="49">
        <f>6588346.3/1000</f>
        <v>6588.3463000000002</v>
      </c>
      <c r="AD26" s="20">
        <f t="shared" si="3"/>
        <v>100.00000000000003</v>
      </c>
      <c r="AE26" s="21" t="str">
        <f t="shared" si="4"/>
        <v>ОК</v>
      </c>
      <c r="AF26" s="22"/>
      <c r="AG26" s="22"/>
      <c r="AH26" s="22"/>
    </row>
    <row r="27" spans="1:34" x14ac:dyDescent="0.25">
      <c r="A27" s="11">
        <v>17</v>
      </c>
      <c r="B27" s="12">
        <v>96.0197</v>
      </c>
      <c r="C27" s="12">
        <v>2.1814</v>
      </c>
      <c r="D27" s="12">
        <v>0.69369999999999998</v>
      </c>
      <c r="E27" s="12">
        <v>0.1111</v>
      </c>
      <c r="F27" s="12">
        <v>0.1103</v>
      </c>
      <c r="G27" s="12">
        <v>2.5999999999999999E-3</v>
      </c>
      <c r="H27" s="12">
        <v>2.1100000000000001E-2</v>
      </c>
      <c r="I27" s="12">
        <v>1.4800000000000001E-2</v>
      </c>
      <c r="J27" s="12">
        <v>1.2699999999999999E-2</v>
      </c>
      <c r="K27" s="12"/>
      <c r="L27" s="12">
        <v>0.66390000000000005</v>
      </c>
      <c r="M27" s="12">
        <v>0.16869999999999999</v>
      </c>
      <c r="N27" s="11">
        <v>0.6996</v>
      </c>
      <c r="O27" s="16">
        <v>8195</v>
      </c>
      <c r="P27" s="14">
        <v>34.31</v>
      </c>
      <c r="Q27" s="18">
        <f t="shared" si="2"/>
        <v>9.5305555555555568</v>
      </c>
      <c r="R27" s="16">
        <v>9087</v>
      </c>
      <c r="S27" s="14">
        <v>38.049999999999997</v>
      </c>
      <c r="T27" s="18">
        <f t="shared" si="0"/>
        <v>10.569444444444443</v>
      </c>
      <c r="U27" s="19">
        <v>11924</v>
      </c>
      <c r="V27" s="14">
        <v>49.92</v>
      </c>
      <c r="W27" s="18">
        <f t="shared" si="1"/>
        <v>13.866666666666667</v>
      </c>
      <c r="X27" s="19">
        <v>-21.8</v>
      </c>
      <c r="Y27" s="14"/>
      <c r="Z27" s="14"/>
      <c r="AA27" s="14"/>
      <c r="AB27" s="46"/>
      <c r="AC27" s="49">
        <f>6061424.3/1000</f>
        <v>6061.4242999999997</v>
      </c>
      <c r="AD27" s="20">
        <f t="shared" si="3"/>
        <v>99.999999999999986</v>
      </c>
      <c r="AE27" s="21" t="str">
        <f t="shared" si="4"/>
        <v>ОК</v>
      </c>
      <c r="AF27" s="22"/>
      <c r="AG27" s="22"/>
      <c r="AH27" s="22"/>
    </row>
    <row r="28" spans="1:34" x14ac:dyDescent="0.25">
      <c r="A28" s="11">
        <v>18</v>
      </c>
      <c r="B28" s="12">
        <v>96.019000000000005</v>
      </c>
      <c r="C28" s="12">
        <v>2.1802000000000001</v>
      </c>
      <c r="D28" s="12">
        <v>0.69210000000000005</v>
      </c>
      <c r="E28" s="12">
        <v>0.1108</v>
      </c>
      <c r="F28" s="12">
        <v>0.10929999999999999</v>
      </c>
      <c r="G28" s="12">
        <v>2.5000000000000001E-3</v>
      </c>
      <c r="H28" s="12">
        <v>2.0899999999999998E-2</v>
      </c>
      <c r="I28" s="12">
        <v>1.49E-2</v>
      </c>
      <c r="J28" s="12">
        <v>1.24E-2</v>
      </c>
      <c r="K28" s="12"/>
      <c r="L28" s="12">
        <v>0.66839999999999999</v>
      </c>
      <c r="M28" s="12">
        <v>0.16950000000000001</v>
      </c>
      <c r="N28" s="11">
        <v>0.6996</v>
      </c>
      <c r="O28" s="16">
        <v>8194</v>
      </c>
      <c r="P28" s="14">
        <v>34.31</v>
      </c>
      <c r="Q28" s="18">
        <f t="shared" si="2"/>
        <v>9.5305555555555568</v>
      </c>
      <c r="R28" s="16">
        <v>9086</v>
      </c>
      <c r="S28" s="14">
        <v>38.04</v>
      </c>
      <c r="T28" s="18">
        <f t="shared" si="0"/>
        <v>10.566666666666666</v>
      </c>
      <c r="U28" s="19">
        <v>11923</v>
      </c>
      <c r="V28" s="14">
        <v>49.92</v>
      </c>
      <c r="W28" s="18">
        <f t="shared" si="1"/>
        <v>13.866666666666667</v>
      </c>
      <c r="X28" s="19">
        <v>-22.2</v>
      </c>
      <c r="Y28" s="14"/>
      <c r="Z28" s="14"/>
      <c r="AA28" s="14"/>
      <c r="AB28" s="46"/>
      <c r="AC28" s="49">
        <f>5680081.5/1000</f>
        <v>5680.0815000000002</v>
      </c>
      <c r="AD28" s="20">
        <f t="shared" si="3"/>
        <v>100</v>
      </c>
      <c r="AE28" s="21" t="str">
        <f t="shared" si="4"/>
        <v>ОК</v>
      </c>
      <c r="AF28" s="22"/>
      <c r="AG28" s="22"/>
      <c r="AH28" s="22"/>
    </row>
    <row r="29" spans="1:34" x14ac:dyDescent="0.25">
      <c r="A29" s="11">
        <v>19</v>
      </c>
      <c r="B29" s="12">
        <v>96.0304</v>
      </c>
      <c r="C29" s="12">
        <v>2.1667000000000001</v>
      </c>
      <c r="D29" s="12">
        <v>0.68899999999999995</v>
      </c>
      <c r="E29" s="12">
        <v>0.1101</v>
      </c>
      <c r="F29" s="12">
        <v>0.1095</v>
      </c>
      <c r="G29" s="12">
        <v>2.5999999999999999E-3</v>
      </c>
      <c r="H29" s="12">
        <v>2.12E-2</v>
      </c>
      <c r="I29" s="12">
        <v>1.5299999999999999E-2</v>
      </c>
      <c r="J29" s="12">
        <v>1.34E-2</v>
      </c>
      <c r="K29" s="12"/>
      <c r="L29" s="12">
        <v>0.67200000000000004</v>
      </c>
      <c r="M29" s="12">
        <v>0.16980000000000001</v>
      </c>
      <c r="N29" s="11">
        <v>0.69950000000000001</v>
      </c>
      <c r="O29" s="16">
        <v>8193</v>
      </c>
      <c r="P29" s="14">
        <v>34.299999999999997</v>
      </c>
      <c r="Q29" s="18">
        <f t="shared" si="2"/>
        <v>9.5277777777777768</v>
      </c>
      <c r="R29" s="16">
        <v>9085</v>
      </c>
      <c r="S29" s="14">
        <v>38.04</v>
      </c>
      <c r="T29" s="18">
        <f t="shared" si="0"/>
        <v>10.566666666666666</v>
      </c>
      <c r="U29" s="19">
        <v>11921</v>
      </c>
      <c r="V29" s="14">
        <v>49.91</v>
      </c>
      <c r="W29" s="18">
        <f t="shared" si="1"/>
        <v>13.863888888888887</v>
      </c>
      <c r="X29" s="19"/>
      <c r="Y29" s="14"/>
      <c r="Z29" s="14"/>
      <c r="AA29" s="14"/>
      <c r="AB29" s="46"/>
      <c r="AC29" s="49">
        <f>5702880.1/1000</f>
        <v>5702.8800999999994</v>
      </c>
      <c r="AD29" s="20">
        <f t="shared" si="3"/>
        <v>99.999999999999986</v>
      </c>
      <c r="AE29" s="21" t="str">
        <f t="shared" si="4"/>
        <v>ОК</v>
      </c>
      <c r="AF29" s="22"/>
      <c r="AG29" s="22"/>
      <c r="AH29" s="22"/>
    </row>
    <row r="30" spans="1:34" x14ac:dyDescent="0.25">
      <c r="A30" s="11">
        <v>20</v>
      </c>
      <c r="B30" s="12">
        <v>96.007800000000003</v>
      </c>
      <c r="C30" s="12">
        <v>2.1758000000000002</v>
      </c>
      <c r="D30" s="12">
        <v>0.6915</v>
      </c>
      <c r="E30" s="12">
        <v>0.1106</v>
      </c>
      <c r="F30" s="12">
        <v>0.11020000000000001</v>
      </c>
      <c r="G30" s="12">
        <v>2.5999999999999999E-3</v>
      </c>
      <c r="H30" s="12">
        <v>2.1499999999999998E-2</v>
      </c>
      <c r="I30" s="12">
        <v>1.54E-2</v>
      </c>
      <c r="J30" s="12">
        <v>1.4500000000000001E-2</v>
      </c>
      <c r="K30" s="12"/>
      <c r="L30" s="12">
        <v>0.67869999999999997</v>
      </c>
      <c r="M30" s="12">
        <v>0.1714</v>
      </c>
      <c r="N30" s="11">
        <v>0.69969999999999999</v>
      </c>
      <c r="O30" s="16">
        <v>8194</v>
      </c>
      <c r="P30" s="14">
        <v>34.31</v>
      </c>
      <c r="Q30" s="18">
        <f t="shared" si="2"/>
        <v>9.5305555555555568</v>
      </c>
      <c r="R30" s="16">
        <v>9086</v>
      </c>
      <c r="S30" s="14">
        <v>38.04</v>
      </c>
      <c r="T30" s="18">
        <f t="shared" si="0"/>
        <v>10.566666666666666</v>
      </c>
      <c r="U30" s="19">
        <v>11921</v>
      </c>
      <c r="V30" s="14">
        <v>49.91</v>
      </c>
      <c r="W30" s="18">
        <f t="shared" si="1"/>
        <v>13.863888888888887</v>
      </c>
      <c r="X30" s="19"/>
      <c r="Y30" s="14"/>
      <c r="Z30" s="14"/>
      <c r="AA30" s="14"/>
      <c r="AB30" s="46"/>
      <c r="AC30" s="49">
        <f>5870864.5/1000</f>
        <v>5870.8644999999997</v>
      </c>
      <c r="AD30" s="20">
        <f t="shared" si="3"/>
        <v>100.00000000000003</v>
      </c>
      <c r="AE30" s="21" t="str">
        <f t="shared" si="4"/>
        <v>ОК</v>
      </c>
      <c r="AF30" s="22"/>
      <c r="AG30" s="22"/>
      <c r="AH30" s="22"/>
    </row>
    <row r="31" spans="1:34" x14ac:dyDescent="0.25">
      <c r="A31" s="11">
        <v>21</v>
      </c>
      <c r="B31" s="12">
        <v>96.009600000000006</v>
      </c>
      <c r="C31" s="12">
        <v>2.1751999999999998</v>
      </c>
      <c r="D31" s="12">
        <v>0.68959999999999999</v>
      </c>
      <c r="E31" s="12">
        <v>0.1105</v>
      </c>
      <c r="F31" s="12">
        <v>0.11</v>
      </c>
      <c r="G31" s="12">
        <v>2.7000000000000001E-3</v>
      </c>
      <c r="H31" s="12">
        <v>2.1299999999999999E-2</v>
      </c>
      <c r="I31" s="12">
        <v>1.5299999999999999E-2</v>
      </c>
      <c r="J31" s="12">
        <v>1.38E-2</v>
      </c>
      <c r="K31" s="12">
        <v>7.7000000000000002E-3</v>
      </c>
      <c r="L31" s="12">
        <v>0.67900000000000005</v>
      </c>
      <c r="M31" s="12">
        <v>0.17299999999999999</v>
      </c>
      <c r="N31" s="11">
        <v>0.69969999999999999</v>
      </c>
      <c r="O31" s="16">
        <v>8193</v>
      </c>
      <c r="P31" s="14">
        <v>34.299999999999997</v>
      </c>
      <c r="Q31" s="18">
        <f t="shared" si="2"/>
        <v>9.5277777777777768</v>
      </c>
      <c r="R31" s="16">
        <v>9085</v>
      </c>
      <c r="S31" s="14">
        <v>38.04</v>
      </c>
      <c r="T31" s="18">
        <f t="shared" si="0"/>
        <v>10.566666666666666</v>
      </c>
      <c r="U31" s="19">
        <v>11920</v>
      </c>
      <c r="V31" s="14">
        <v>49.91</v>
      </c>
      <c r="W31" s="18">
        <f t="shared" si="1"/>
        <v>13.863888888888887</v>
      </c>
      <c r="X31" s="19">
        <v>-22.2</v>
      </c>
      <c r="Y31" s="14"/>
      <c r="Z31" s="14"/>
      <c r="AA31" s="14"/>
      <c r="AB31" s="46"/>
      <c r="AC31" s="49">
        <f>5965423.2/1000</f>
        <v>5965.4232000000002</v>
      </c>
      <c r="AD31" s="20">
        <f>SUM(B31:M31)+$K$42+$N$42-K31</f>
        <v>100.00000000000001</v>
      </c>
      <c r="AE31" s="21" t="str">
        <f t="shared" si="4"/>
        <v>ОК</v>
      </c>
      <c r="AF31" s="22"/>
      <c r="AG31" s="22"/>
      <c r="AH31" s="22"/>
    </row>
    <row r="32" spans="1:34" x14ac:dyDescent="0.25">
      <c r="A32" s="11">
        <v>22</v>
      </c>
      <c r="B32" s="12">
        <v>96.022300000000001</v>
      </c>
      <c r="C32" s="12">
        <v>2.1766999999999999</v>
      </c>
      <c r="D32" s="12">
        <v>0.68379999999999996</v>
      </c>
      <c r="E32" s="12">
        <v>0.10580000000000001</v>
      </c>
      <c r="F32" s="12">
        <v>0.10680000000000001</v>
      </c>
      <c r="G32" s="12">
        <v>2.5999999999999999E-3</v>
      </c>
      <c r="H32" s="12">
        <v>1.9400000000000001E-2</v>
      </c>
      <c r="I32" s="12">
        <v>1.5900000000000001E-2</v>
      </c>
      <c r="J32" s="12">
        <v>1.1599999999999999E-2</v>
      </c>
      <c r="K32" s="12"/>
      <c r="L32" s="12">
        <v>0.68889999999999996</v>
      </c>
      <c r="M32" s="12">
        <v>0.16619999999999999</v>
      </c>
      <c r="N32" s="11">
        <v>0.69930000000000003</v>
      </c>
      <c r="O32" s="16">
        <v>8190</v>
      </c>
      <c r="P32" s="14">
        <v>34.29</v>
      </c>
      <c r="Q32" s="18">
        <f t="shared" si="2"/>
        <v>9.5250000000000004</v>
      </c>
      <c r="R32" s="16">
        <v>9082</v>
      </c>
      <c r="S32" s="14">
        <v>38.020000000000003</v>
      </c>
      <c r="T32" s="18">
        <f t="shared" si="0"/>
        <v>10.561111111111112</v>
      </c>
      <c r="U32" s="19">
        <v>11918</v>
      </c>
      <c r="V32" s="17">
        <v>49.9</v>
      </c>
      <c r="W32" s="18">
        <f t="shared" si="1"/>
        <v>13.861111111111111</v>
      </c>
      <c r="X32" s="19">
        <v>-22.2</v>
      </c>
      <c r="Y32" s="14"/>
      <c r="Z32" s="14"/>
      <c r="AA32" s="14"/>
      <c r="AC32" s="49">
        <f>6135545.4/1000</f>
        <v>6135.5454</v>
      </c>
      <c r="AD32" s="20">
        <f t="shared" si="3"/>
        <v>100.00000000000003</v>
      </c>
      <c r="AE32" s="21" t="str">
        <f t="shared" si="4"/>
        <v>ОК</v>
      </c>
      <c r="AF32" s="22"/>
      <c r="AG32" s="22"/>
      <c r="AH32" s="22"/>
    </row>
    <row r="33" spans="1:34" x14ac:dyDescent="0.25">
      <c r="A33" s="11">
        <v>23</v>
      </c>
      <c r="B33" s="12">
        <v>95.979600000000005</v>
      </c>
      <c r="C33" s="12">
        <v>2.2023999999999999</v>
      </c>
      <c r="D33" s="12">
        <v>0.69430000000000003</v>
      </c>
      <c r="E33" s="12">
        <v>0.1074</v>
      </c>
      <c r="F33" s="12">
        <v>0.1089</v>
      </c>
      <c r="G33" s="12">
        <v>2.5999999999999999E-3</v>
      </c>
      <c r="H33" s="12">
        <v>1.9699999999999999E-2</v>
      </c>
      <c r="I33" s="12">
        <v>1.6400000000000001E-2</v>
      </c>
      <c r="J33" s="12">
        <v>1.24E-2</v>
      </c>
      <c r="K33" s="12"/>
      <c r="L33" s="12">
        <v>0.68810000000000004</v>
      </c>
      <c r="M33" s="12">
        <v>0.16819999999999999</v>
      </c>
      <c r="N33" s="11">
        <v>0.69969999999999999</v>
      </c>
      <c r="O33" s="16">
        <v>8194</v>
      </c>
      <c r="P33" s="14">
        <v>34.31</v>
      </c>
      <c r="Q33" s="18">
        <f t="shared" si="2"/>
        <v>9.5305555555555568</v>
      </c>
      <c r="R33" s="16">
        <v>9086</v>
      </c>
      <c r="S33" s="14">
        <v>38.04</v>
      </c>
      <c r="T33" s="18">
        <f t="shared" si="0"/>
        <v>10.566666666666666</v>
      </c>
      <c r="U33" s="19">
        <v>11920</v>
      </c>
      <c r="V33" s="14">
        <v>49.91</v>
      </c>
      <c r="W33" s="18">
        <f t="shared" si="1"/>
        <v>13.863888888888887</v>
      </c>
      <c r="X33" s="19">
        <v>-21.5</v>
      </c>
      <c r="Y33" s="14"/>
      <c r="AB33" s="47" t="s">
        <v>50</v>
      </c>
      <c r="AC33" s="49">
        <f>6510605.5/1000</f>
        <v>6510.6054999999997</v>
      </c>
      <c r="AD33" s="20">
        <f>SUM(B33:M33)+$K$42+$N$42</f>
        <v>100.00000000000001</v>
      </c>
      <c r="AE33" s="21" t="str">
        <f>IF(AD33=100,"ОК"," ")</f>
        <v>ОК</v>
      </c>
      <c r="AF33" s="22"/>
      <c r="AG33" s="22"/>
      <c r="AH33" s="22"/>
    </row>
    <row r="34" spans="1:34" x14ac:dyDescent="0.25">
      <c r="A34" s="11">
        <v>24</v>
      </c>
      <c r="B34" s="12">
        <v>95.929000000000002</v>
      </c>
      <c r="C34" s="12">
        <v>2.2233000000000001</v>
      </c>
      <c r="D34" s="12">
        <v>0.70469999999999999</v>
      </c>
      <c r="E34" s="12">
        <v>0.10929999999999999</v>
      </c>
      <c r="F34" s="12">
        <v>0.112</v>
      </c>
      <c r="G34" s="12">
        <v>2.5999999999999999E-3</v>
      </c>
      <c r="H34" s="12">
        <v>2.06E-2</v>
      </c>
      <c r="I34" s="12">
        <v>1.7100000000000001E-2</v>
      </c>
      <c r="J34" s="12">
        <v>1.72E-2</v>
      </c>
      <c r="K34" s="12"/>
      <c r="L34" s="12">
        <v>0.69230000000000003</v>
      </c>
      <c r="M34" s="12">
        <v>0.1719</v>
      </c>
      <c r="N34" s="11">
        <v>0.70030000000000003</v>
      </c>
      <c r="O34" s="16">
        <v>8198</v>
      </c>
      <c r="P34" s="14">
        <v>34.32</v>
      </c>
      <c r="Q34" s="18">
        <f t="shared" si="2"/>
        <v>9.5333333333333332</v>
      </c>
      <c r="R34" s="16">
        <v>9091</v>
      </c>
      <c r="S34" s="14">
        <v>38.06</v>
      </c>
      <c r="T34" s="18">
        <f t="shared" si="0"/>
        <v>10.572222222222223</v>
      </c>
      <c r="U34" s="19">
        <v>11922</v>
      </c>
      <c r="V34" s="14">
        <v>49.92</v>
      </c>
      <c r="W34" s="18">
        <f t="shared" si="1"/>
        <v>13.866666666666667</v>
      </c>
      <c r="X34" s="19">
        <v>-22.2</v>
      </c>
      <c r="Y34" s="14"/>
      <c r="Z34" s="14" t="s">
        <v>51</v>
      </c>
      <c r="AA34" s="14" t="s">
        <v>52</v>
      </c>
      <c r="AB34" s="46"/>
      <c r="AC34" s="49">
        <f>6553226.4/1000</f>
        <v>6553.2264000000005</v>
      </c>
      <c r="AD34" s="20">
        <f t="shared" si="3"/>
        <v>100</v>
      </c>
      <c r="AE34" s="21" t="str">
        <f t="shared" si="4"/>
        <v>ОК</v>
      </c>
      <c r="AF34" s="22"/>
      <c r="AG34" s="22"/>
      <c r="AH34" s="22"/>
    </row>
    <row r="35" spans="1:34" x14ac:dyDescent="0.25">
      <c r="A35" s="11">
        <v>25</v>
      </c>
      <c r="B35" s="12">
        <v>95.982100000000003</v>
      </c>
      <c r="C35" s="12">
        <v>2.1839</v>
      </c>
      <c r="D35" s="12">
        <v>0.68899999999999995</v>
      </c>
      <c r="E35" s="12">
        <v>0.1061</v>
      </c>
      <c r="F35" s="12">
        <v>0.1091</v>
      </c>
      <c r="G35" s="12">
        <v>2.7000000000000001E-3</v>
      </c>
      <c r="H35" s="12">
        <v>0.02</v>
      </c>
      <c r="I35" s="12">
        <v>1.7000000000000001E-2</v>
      </c>
      <c r="J35" s="12">
        <v>2.3300000000000001E-2</v>
      </c>
      <c r="K35" s="12"/>
      <c r="L35" s="12">
        <v>0.69550000000000001</v>
      </c>
      <c r="M35" s="12">
        <v>0.17130000000000001</v>
      </c>
      <c r="N35" s="13">
        <v>0.7</v>
      </c>
      <c r="O35" s="16">
        <v>8194</v>
      </c>
      <c r="P35" s="14">
        <v>34.31</v>
      </c>
      <c r="Q35" s="18">
        <f t="shared" si="2"/>
        <v>9.5305555555555568</v>
      </c>
      <c r="R35" s="16">
        <v>9087</v>
      </c>
      <c r="S35" s="14">
        <v>38.049999999999997</v>
      </c>
      <c r="T35" s="18">
        <f t="shared" si="0"/>
        <v>10.569444444444443</v>
      </c>
      <c r="U35" s="19">
        <v>11919</v>
      </c>
      <c r="V35" s="17">
        <v>49.9</v>
      </c>
      <c r="W35" s="18">
        <f t="shared" si="1"/>
        <v>13.861111111111111</v>
      </c>
      <c r="X35" s="19">
        <v>-21.1</v>
      </c>
      <c r="Y35" s="14"/>
      <c r="Z35" s="14"/>
      <c r="AA35" s="14"/>
      <c r="AB35" s="46"/>
      <c r="AC35" s="49">
        <f>6152465.6/1000</f>
        <v>6152.4655999999995</v>
      </c>
      <c r="AD35" s="20">
        <f t="shared" si="3"/>
        <v>99.999999999999986</v>
      </c>
      <c r="AE35" s="21" t="str">
        <f t="shared" si="4"/>
        <v>ОК</v>
      </c>
      <c r="AF35" s="22"/>
      <c r="AG35" s="22"/>
      <c r="AH35" s="22"/>
    </row>
    <row r="36" spans="1:34" x14ac:dyDescent="0.25">
      <c r="A36" s="11">
        <v>26</v>
      </c>
      <c r="B36" s="12">
        <v>96.031899999999993</v>
      </c>
      <c r="C36" s="12">
        <v>2.1503000000000001</v>
      </c>
      <c r="D36" s="12">
        <v>0.67300000000000004</v>
      </c>
      <c r="E36" s="12">
        <v>0.1032</v>
      </c>
      <c r="F36" s="12">
        <v>0.1066</v>
      </c>
      <c r="G36" s="12">
        <v>2.5999999999999999E-3</v>
      </c>
      <c r="H36" s="12">
        <v>1.95E-2</v>
      </c>
      <c r="I36" s="12">
        <v>1.6500000000000001E-2</v>
      </c>
      <c r="J36" s="12">
        <v>2.3400000000000001E-2</v>
      </c>
      <c r="K36" s="12"/>
      <c r="L36" s="12">
        <v>0.70509999999999995</v>
      </c>
      <c r="M36" s="12">
        <v>0.16789999999999999</v>
      </c>
      <c r="N36" s="11">
        <v>0.69950000000000001</v>
      </c>
      <c r="O36" s="16">
        <v>8189</v>
      </c>
      <c r="P36" s="14">
        <v>34.29</v>
      </c>
      <c r="Q36" s="18">
        <f t="shared" si="2"/>
        <v>9.5250000000000004</v>
      </c>
      <c r="R36" s="16">
        <v>9080</v>
      </c>
      <c r="S36" s="14">
        <v>38.020000000000003</v>
      </c>
      <c r="T36" s="18">
        <f t="shared" si="0"/>
        <v>10.561111111111112</v>
      </c>
      <c r="U36" s="19">
        <v>11915</v>
      </c>
      <c r="V36" s="14">
        <v>49.89</v>
      </c>
      <c r="W36" s="18">
        <f t="shared" si="1"/>
        <v>13.858333333333333</v>
      </c>
      <c r="X36" s="19"/>
      <c r="Y36" s="14"/>
      <c r="Z36" s="14"/>
      <c r="AA36" s="14"/>
      <c r="AB36" s="46"/>
      <c r="AC36" s="49">
        <f>6166465.3/1000</f>
        <v>6166.4652999999998</v>
      </c>
      <c r="AD36" s="20">
        <f t="shared" si="3"/>
        <v>99.999999999999986</v>
      </c>
      <c r="AE36" s="21" t="str">
        <f t="shared" si="4"/>
        <v>ОК</v>
      </c>
      <c r="AF36" s="22"/>
      <c r="AG36" s="22"/>
      <c r="AH36" s="22"/>
    </row>
    <row r="37" spans="1:34" x14ac:dyDescent="0.25">
      <c r="A37" s="11">
        <v>27</v>
      </c>
      <c r="B37" s="12">
        <v>96.002600000000001</v>
      </c>
      <c r="C37" s="12">
        <v>2.1644000000000001</v>
      </c>
      <c r="D37" s="12">
        <v>0.67900000000000005</v>
      </c>
      <c r="E37" s="12">
        <v>0.104</v>
      </c>
      <c r="F37" s="12">
        <v>0.10780000000000001</v>
      </c>
      <c r="G37" s="12">
        <v>2.7000000000000001E-3</v>
      </c>
      <c r="H37" s="12">
        <v>1.9800000000000002E-2</v>
      </c>
      <c r="I37" s="12">
        <v>1.6799999999999999E-2</v>
      </c>
      <c r="J37" s="12">
        <v>2.3699999999999999E-2</v>
      </c>
      <c r="K37" s="12"/>
      <c r="L37" s="12">
        <v>0.70920000000000005</v>
      </c>
      <c r="M37" s="12">
        <v>0.17</v>
      </c>
      <c r="N37" s="11">
        <v>0.69969999999999999</v>
      </c>
      <c r="O37" s="16">
        <v>8190</v>
      </c>
      <c r="P37" s="14">
        <v>34.29</v>
      </c>
      <c r="Q37" s="18">
        <f t="shared" si="2"/>
        <v>9.5250000000000004</v>
      </c>
      <c r="R37" s="16">
        <v>9082</v>
      </c>
      <c r="S37" s="14">
        <v>38.020000000000003</v>
      </c>
      <c r="T37" s="18">
        <f t="shared" si="0"/>
        <v>10.561111111111112</v>
      </c>
      <c r="U37" s="19">
        <v>11916</v>
      </c>
      <c r="V37" s="14">
        <v>49.89</v>
      </c>
      <c r="W37" s="18">
        <f t="shared" si="1"/>
        <v>13.858333333333333</v>
      </c>
      <c r="X37" s="19"/>
      <c r="Y37" s="14"/>
      <c r="Z37" s="14"/>
      <c r="AA37" s="14"/>
      <c r="AB37" s="46"/>
      <c r="AC37" s="49">
        <f>6032824.2/1000</f>
        <v>6032.8242</v>
      </c>
      <c r="AD37" s="20">
        <f t="shared" si="3"/>
        <v>100.00000000000001</v>
      </c>
      <c r="AE37" s="21" t="str">
        <f t="shared" si="4"/>
        <v>ОК</v>
      </c>
      <c r="AF37" s="22"/>
      <c r="AG37" s="22"/>
      <c r="AH37" s="22"/>
    </row>
    <row r="38" spans="1:34" x14ac:dyDescent="0.25">
      <c r="A38" s="11">
        <v>28</v>
      </c>
      <c r="B38" s="12">
        <v>95.861400000000003</v>
      </c>
      <c r="C38" s="12">
        <v>2.2302</v>
      </c>
      <c r="D38" s="12">
        <v>0.68730000000000002</v>
      </c>
      <c r="E38" s="12">
        <v>0.10290000000000001</v>
      </c>
      <c r="F38" s="12">
        <v>0.1074</v>
      </c>
      <c r="G38" s="12">
        <v>2.5000000000000001E-3</v>
      </c>
      <c r="H38" s="12">
        <v>1.95E-2</v>
      </c>
      <c r="I38" s="12">
        <v>1.6799999999999999E-2</v>
      </c>
      <c r="J38" s="12">
        <v>2.41E-2</v>
      </c>
      <c r="K38" s="12">
        <v>8.0000000000000002E-3</v>
      </c>
      <c r="L38" s="12">
        <v>0.77490000000000003</v>
      </c>
      <c r="M38" s="12">
        <v>0.17299999999999999</v>
      </c>
      <c r="N38" s="11">
        <v>0.70050000000000001</v>
      </c>
      <c r="O38" s="16">
        <v>8190</v>
      </c>
      <c r="P38" s="14">
        <v>34.29</v>
      </c>
      <c r="Q38" s="18">
        <f t="shared" si="2"/>
        <v>9.5250000000000004</v>
      </c>
      <c r="R38" s="16">
        <v>9081</v>
      </c>
      <c r="S38" s="14">
        <v>38.020000000000003</v>
      </c>
      <c r="T38" s="18">
        <f t="shared" si="0"/>
        <v>10.561111111111112</v>
      </c>
      <c r="U38" s="19">
        <v>11908</v>
      </c>
      <c r="V38" s="14">
        <v>49.86</v>
      </c>
      <c r="W38" s="18">
        <f t="shared" si="1"/>
        <v>13.85</v>
      </c>
      <c r="X38" s="19">
        <v>-21.8</v>
      </c>
      <c r="Y38" s="14"/>
      <c r="Z38" s="14"/>
      <c r="AA38" s="14"/>
      <c r="AB38" s="46"/>
      <c r="AC38" s="49">
        <f>6337552.7/1000</f>
        <v>6337.5527000000002</v>
      </c>
      <c r="AD38" s="20">
        <f>SUM(B38:M38)+$K$42+$N$42-K38</f>
        <v>100</v>
      </c>
      <c r="AE38" s="21" t="str">
        <f t="shared" si="4"/>
        <v>ОК</v>
      </c>
      <c r="AF38" s="22"/>
      <c r="AG38" s="22"/>
      <c r="AH38" s="22"/>
    </row>
    <row r="39" spans="1:34" x14ac:dyDescent="0.25">
      <c r="A39" s="11">
        <v>29</v>
      </c>
      <c r="B39" s="12">
        <v>95.860100000000003</v>
      </c>
      <c r="C39" s="12">
        <v>2.2229000000000001</v>
      </c>
      <c r="D39" s="12">
        <v>0.67949999999999999</v>
      </c>
      <c r="E39" s="12">
        <v>0.1011</v>
      </c>
      <c r="F39" s="12">
        <v>0.1056</v>
      </c>
      <c r="G39" s="12">
        <v>2.7000000000000001E-3</v>
      </c>
      <c r="H39" s="12">
        <v>1.8700000000000001E-2</v>
      </c>
      <c r="I39" s="12">
        <v>1.54E-2</v>
      </c>
      <c r="J39" s="12">
        <v>2.1299999999999999E-2</v>
      </c>
      <c r="K39" s="12"/>
      <c r="L39" s="12">
        <v>0.80379999999999996</v>
      </c>
      <c r="M39" s="12">
        <v>0.16889999999999999</v>
      </c>
      <c r="N39" s="11">
        <v>0.70030000000000003</v>
      </c>
      <c r="O39" s="16">
        <v>8184</v>
      </c>
      <c r="P39" s="14">
        <v>34.26</v>
      </c>
      <c r="Q39" s="18">
        <f t="shared" si="2"/>
        <v>9.5166666666666657</v>
      </c>
      <c r="R39" s="16">
        <v>9075</v>
      </c>
      <c r="S39" s="17">
        <v>38</v>
      </c>
      <c r="T39" s="18">
        <f t="shared" si="0"/>
        <v>10.555555555555555</v>
      </c>
      <c r="U39" s="19">
        <v>11902</v>
      </c>
      <c r="V39" s="14">
        <v>49.83</v>
      </c>
      <c r="W39" s="18">
        <f t="shared" si="1"/>
        <v>13.841666666666665</v>
      </c>
      <c r="X39" s="19">
        <v>-19.399999999999999</v>
      </c>
      <c r="Y39" s="14"/>
      <c r="Z39" s="14"/>
      <c r="AA39" s="14"/>
      <c r="AB39" s="46"/>
      <c r="AC39" s="49">
        <f>6839026.9/1000</f>
        <v>6839.0269000000008</v>
      </c>
      <c r="AD39" s="20">
        <f t="shared" si="3"/>
        <v>99.999999999999986</v>
      </c>
      <c r="AE39" s="21" t="str">
        <f t="shared" si="4"/>
        <v>ОК</v>
      </c>
      <c r="AF39" s="22"/>
      <c r="AG39" s="22"/>
      <c r="AH39" s="22"/>
    </row>
    <row r="40" spans="1:34" x14ac:dyDescent="0.25">
      <c r="A40" s="11">
        <v>30</v>
      </c>
      <c r="B40" s="23">
        <v>95.759600000000006</v>
      </c>
      <c r="C40" s="12">
        <v>2.2753999999999999</v>
      </c>
      <c r="D40" s="12">
        <v>0.68899999999999995</v>
      </c>
      <c r="E40" s="12">
        <v>0.10150000000000001</v>
      </c>
      <c r="F40" s="12">
        <v>0.10589999999999999</v>
      </c>
      <c r="G40" s="12">
        <v>2.5000000000000001E-3</v>
      </c>
      <c r="H40" s="12">
        <v>1.8700000000000001E-2</v>
      </c>
      <c r="I40" s="12">
        <v>1.5699999999999999E-2</v>
      </c>
      <c r="J40" s="12">
        <v>2.06E-2</v>
      </c>
      <c r="K40" s="12"/>
      <c r="L40" s="12">
        <v>0.84140000000000004</v>
      </c>
      <c r="M40" s="24">
        <v>0.16969999999999999</v>
      </c>
      <c r="N40" s="11">
        <v>0.70089999999999997</v>
      </c>
      <c r="O40" s="16">
        <v>8186</v>
      </c>
      <c r="P40" s="14">
        <v>34.270000000000003</v>
      </c>
      <c r="Q40" s="18">
        <f t="shared" si="2"/>
        <v>9.5194444444444457</v>
      </c>
      <c r="R40" s="16">
        <v>9077</v>
      </c>
      <c r="S40" s="17">
        <v>38</v>
      </c>
      <c r="T40" s="18">
        <f t="shared" si="0"/>
        <v>10.555555555555555</v>
      </c>
      <c r="U40" s="19">
        <v>11898</v>
      </c>
      <c r="V40" s="14">
        <v>49.81</v>
      </c>
      <c r="W40" s="18">
        <f t="shared" si="1"/>
        <v>13.836111111111112</v>
      </c>
      <c r="X40" s="19">
        <v>-21.5</v>
      </c>
      <c r="Y40" s="14"/>
      <c r="Z40" s="14"/>
      <c r="AA40" s="14"/>
      <c r="AB40" s="46"/>
      <c r="AC40" s="49">
        <f>7221704.1/1000</f>
        <v>7221.7040999999999</v>
      </c>
      <c r="AD40" s="20">
        <f t="shared" si="3"/>
        <v>100</v>
      </c>
      <c r="AE40" s="21" t="str">
        <f t="shared" si="4"/>
        <v>ОК</v>
      </c>
      <c r="AF40" s="22"/>
      <c r="AG40" s="22"/>
      <c r="AH40" s="22"/>
    </row>
    <row r="41" spans="1:34" ht="15.75" thickBot="1" x14ac:dyDescent="0.3">
      <c r="A41" s="25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25"/>
      <c r="O41" s="29"/>
      <c r="P41" s="30"/>
      <c r="Q41" s="40"/>
      <c r="R41" s="29"/>
      <c r="S41" s="30"/>
      <c r="T41" s="40"/>
      <c r="U41" s="31"/>
      <c r="V41" s="30"/>
      <c r="W41" s="40"/>
      <c r="X41" s="31"/>
      <c r="Y41" s="30"/>
      <c r="Z41" s="30"/>
      <c r="AA41" s="30"/>
      <c r="AB41" s="48"/>
      <c r="AC41" s="50"/>
      <c r="AD41" s="20">
        <f t="shared" si="3"/>
        <v>0</v>
      </c>
      <c r="AE41" s="21" t="str">
        <f t="shared" si="4"/>
        <v xml:space="preserve"> </v>
      </c>
      <c r="AF41" s="22"/>
      <c r="AG41" s="22"/>
      <c r="AH41" s="22"/>
    </row>
    <row r="42" spans="1:34" ht="15" customHeight="1" thickBot="1" x14ac:dyDescent="0.3">
      <c r="A42" s="93" t="s">
        <v>35</v>
      </c>
      <c r="B42" s="94"/>
      <c r="C42" s="94"/>
      <c r="D42" s="94"/>
      <c r="E42" s="94"/>
      <c r="F42" s="94"/>
      <c r="G42" s="94"/>
      <c r="H42" s="95"/>
      <c r="I42" s="93" t="s">
        <v>36</v>
      </c>
      <c r="J42" s="94"/>
      <c r="K42" s="32">
        <v>0</v>
      </c>
      <c r="L42" s="96" t="s">
        <v>37</v>
      </c>
      <c r="M42" s="97"/>
      <c r="N42" s="33">
        <v>0</v>
      </c>
      <c r="O42" s="98">
        <f>SUMPRODUCT(O11:O41,AC11:AC41)/SUM(AC11:AC40)</f>
        <v>8196.4323169301715</v>
      </c>
      <c r="P42" s="86">
        <f>SUMPRODUCT(P11:P41,AC11:AC41)/SUM(AC11:AC41)</f>
        <v>34.316958217290903</v>
      </c>
      <c r="Q42" s="86">
        <f>SUMPRODUCT(Q11:Q41,AC11:AC41)/SUM(AC11:AC41)</f>
        <v>9.5325061474405821</v>
      </c>
      <c r="R42" s="86">
        <f>SUMPRODUCT(R11:R41,AC11:AC41)/SUM(AC11:AC41)</f>
        <v>9088.6333672856217</v>
      </c>
      <c r="S42" s="86">
        <f>SUMPRODUCT(S11:S41,AC11:AC41)/SUM(AC11:AC41)</f>
        <v>38.052101977396433</v>
      </c>
      <c r="T42" s="88">
        <f>SUMPRODUCT(T11:T41,AC11:AC41)/SUM(AC11:AC41)</f>
        <v>10.570028327054564</v>
      </c>
      <c r="U42" s="34"/>
      <c r="V42" s="35"/>
      <c r="W42" s="35"/>
      <c r="X42" s="35"/>
      <c r="Y42" s="35"/>
      <c r="Z42" s="35"/>
      <c r="AA42" s="35"/>
      <c r="AB42" s="51" t="s">
        <v>60</v>
      </c>
      <c r="AC42" s="35">
        <v>174422.18700000001</v>
      </c>
      <c r="AD42" s="20"/>
      <c r="AE42" s="21"/>
      <c r="AF42" s="22"/>
      <c r="AG42" s="22"/>
      <c r="AH42" s="22"/>
    </row>
    <row r="43" spans="1:34" ht="19.5" customHeight="1" thickBot="1" x14ac:dyDescent="0.3">
      <c r="A43" s="36"/>
      <c r="B43" s="37"/>
      <c r="C43" s="37"/>
      <c r="D43" s="37"/>
      <c r="E43" s="37"/>
      <c r="F43" s="37"/>
      <c r="G43" s="37"/>
      <c r="H43" s="90" t="s">
        <v>38</v>
      </c>
      <c r="I43" s="91"/>
      <c r="J43" s="91"/>
      <c r="K43" s="91"/>
      <c r="L43" s="91"/>
      <c r="M43" s="91"/>
      <c r="N43" s="92"/>
      <c r="O43" s="99"/>
      <c r="P43" s="87"/>
      <c r="Q43" s="87"/>
      <c r="R43" s="87"/>
      <c r="S43" s="87"/>
      <c r="T43" s="89"/>
      <c r="U43" s="34"/>
      <c r="V43" s="37"/>
      <c r="W43" s="37"/>
      <c r="X43" s="37"/>
      <c r="Y43" s="37"/>
      <c r="Z43" s="37"/>
      <c r="AA43" s="37"/>
      <c r="AB43" s="37"/>
      <c r="AC43" s="38"/>
    </row>
    <row r="44" spans="1:34" ht="38.25" customHeight="1" x14ac:dyDescent="0.25"/>
    <row r="45" spans="1:34" x14ac:dyDescent="0.25">
      <c r="B45" s="42" t="s">
        <v>59</v>
      </c>
    </row>
    <row r="46" spans="1:34" ht="24" customHeight="1" x14ac:dyDescent="0.25">
      <c r="D46" s="39" t="s">
        <v>39</v>
      </c>
      <c r="O46" s="39" t="s">
        <v>40</v>
      </c>
      <c r="R46" s="39" t="s">
        <v>41</v>
      </c>
      <c r="V46" s="39" t="s">
        <v>42</v>
      </c>
    </row>
    <row r="47" spans="1:34" ht="21" customHeight="1" x14ac:dyDescent="0.25">
      <c r="B47" s="42" t="s">
        <v>57</v>
      </c>
    </row>
    <row r="48" spans="1:34" ht="29.25" customHeight="1" x14ac:dyDescent="0.25">
      <c r="E48" s="39" t="s">
        <v>43</v>
      </c>
      <c r="O48" s="39" t="s">
        <v>40</v>
      </c>
      <c r="R48" s="39" t="s">
        <v>41</v>
      </c>
      <c r="V48" s="39" t="s">
        <v>42</v>
      </c>
    </row>
    <row r="49" spans="2:22" x14ac:dyDescent="0.25">
      <c r="B49" s="42" t="s">
        <v>58</v>
      </c>
    </row>
    <row r="50" spans="2:22" x14ac:dyDescent="0.25">
      <c r="E50" s="39" t="s">
        <v>44</v>
      </c>
      <c r="O50" s="39" t="s">
        <v>40</v>
      </c>
      <c r="R50" s="39" t="s">
        <v>41</v>
      </c>
      <c r="V50" s="39" t="s">
        <v>42</v>
      </c>
    </row>
  </sheetData>
  <mergeCells count="41">
    <mergeCell ref="Q42:Q43"/>
    <mergeCell ref="R42:R43"/>
    <mergeCell ref="S42:S43"/>
    <mergeCell ref="T42:T43"/>
    <mergeCell ref="H43:N43"/>
    <mergeCell ref="A42:H42"/>
    <mergeCell ref="I42:J42"/>
    <mergeCell ref="L42:M42"/>
    <mergeCell ref="O42:O43"/>
    <mergeCell ref="P42:P43"/>
    <mergeCell ref="M9:M10"/>
    <mergeCell ref="O9:O10"/>
    <mergeCell ref="P9:P10"/>
    <mergeCell ref="Q9:Q10"/>
    <mergeCell ref="S9:S10"/>
    <mergeCell ref="AA7:AA10"/>
    <mergeCell ref="AB7:AB10"/>
    <mergeCell ref="AC7:AC10"/>
    <mergeCell ref="N8:N10"/>
    <mergeCell ref="Y7:Y10"/>
    <mergeCell ref="Z7:Z10"/>
    <mergeCell ref="T9:T10"/>
    <mergeCell ref="U9:U10"/>
    <mergeCell ref="V9:V10"/>
    <mergeCell ref="W9:W10"/>
    <mergeCell ref="G9:G10"/>
    <mergeCell ref="A7:A10"/>
    <mergeCell ref="B7:M8"/>
    <mergeCell ref="N7:W7"/>
    <mergeCell ref="X7:X10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R9:R10"/>
    <mergeCell ref="L9:L10"/>
  </mergeCells>
  <printOptions verticalCentered="1"/>
  <pageMargins left="0.70866141732283472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Басистюк Андрей Васильевич</cp:lastModifiedBy>
  <cp:lastPrinted>2016-12-05T11:18:56Z</cp:lastPrinted>
  <dcterms:created xsi:type="dcterms:W3CDTF">2016-11-01T07:39:48Z</dcterms:created>
  <dcterms:modified xsi:type="dcterms:W3CDTF">2016-12-12T09:01:12Z</dcterms:modified>
</cp:coreProperties>
</file>